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erto\Desktop\Tesi\Impianti\Fotovoltaico\"/>
    </mc:Choice>
  </mc:AlternateContent>
  <xr:revisionPtr revIDLastSave="0" documentId="13_ncr:1_{07EB36D2-BDE8-46FC-8348-D547F12E73AF}" xr6:coauthVersionLast="47" xr6:coauthVersionMax="47" xr10:uidLastSave="{00000000-0000-0000-0000-000000000000}"/>
  <bookViews>
    <workbookView xWindow="-108" yWindow="-108" windowWidth="23256" windowHeight="12576" xr2:uid="{3143D5A2-9C25-4865-8B16-6FB69DB57511}"/>
  </bookViews>
  <sheets>
    <sheet name="Tabelle" sheetId="1" r:id="rId1"/>
    <sheet name="Piano economic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G26" i="2"/>
  <c r="H26" i="2" s="1"/>
  <c r="C2" i="2"/>
  <c r="C7" i="2"/>
  <c r="E52" i="2" s="1"/>
  <c r="H34" i="2"/>
  <c r="I34" i="2" s="1"/>
  <c r="J34" i="2" s="1"/>
  <c r="K34" i="2" s="1"/>
  <c r="L34" i="2" s="1"/>
  <c r="M34" i="2" s="1"/>
  <c r="N34" i="2" s="1"/>
  <c r="O34" i="2" s="1"/>
  <c r="P34" i="2" s="1"/>
  <c r="Q34" i="2" s="1"/>
  <c r="R34" i="2" s="1"/>
  <c r="S34" i="2" s="1"/>
  <c r="T34" i="2" s="1"/>
  <c r="U34" i="2" s="1"/>
  <c r="V34" i="2" s="1"/>
  <c r="W34" i="2" s="1"/>
  <c r="X34" i="2" s="1"/>
  <c r="Y34" i="2" s="1"/>
  <c r="Z34" i="2" s="1"/>
  <c r="AA34" i="2" s="1"/>
  <c r="AB34" i="2" s="1"/>
  <c r="AC34" i="2" s="1"/>
  <c r="AD34" i="2" s="1"/>
  <c r="AE34" i="2" s="1"/>
  <c r="AF34" i="2" s="1"/>
  <c r="AG34" i="2" s="1"/>
  <c r="AH34" i="2" s="1"/>
  <c r="AI34" i="2" s="1"/>
  <c r="AJ34" i="2" s="1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28" i="2"/>
  <c r="H28" i="2" s="1"/>
  <c r="I28" i="2" s="1"/>
  <c r="J28" i="2" s="1"/>
  <c r="K28" i="2" s="1"/>
  <c r="L28" i="2" s="1"/>
  <c r="M28" i="2" s="1"/>
  <c r="N28" i="2" s="1"/>
  <c r="O28" i="2" s="1"/>
  <c r="P28" i="2" s="1"/>
  <c r="Q28" i="2" s="1"/>
  <c r="R28" i="2" s="1"/>
  <c r="S28" i="2" s="1"/>
  <c r="T28" i="2" s="1"/>
  <c r="U28" i="2" s="1"/>
  <c r="V28" i="2" s="1"/>
  <c r="W28" i="2" s="1"/>
  <c r="X28" i="2" s="1"/>
  <c r="Y28" i="2" s="1"/>
  <c r="Z28" i="2" s="1"/>
  <c r="AA28" i="2" s="1"/>
  <c r="AB28" i="2" s="1"/>
  <c r="AC28" i="2" s="1"/>
  <c r="AD28" i="2" s="1"/>
  <c r="AE28" i="2" s="1"/>
  <c r="AF28" i="2" s="1"/>
  <c r="AG28" i="2" s="1"/>
  <c r="AH28" i="2" s="1"/>
  <c r="AI28" i="2" s="1"/>
  <c r="AJ28" i="2" s="1"/>
  <c r="H24" i="2"/>
  <c r="I24" i="2" s="1"/>
  <c r="J24" i="2" s="1"/>
  <c r="K24" i="2" s="1"/>
  <c r="L24" i="2" s="1"/>
  <c r="M24" i="2" s="1"/>
  <c r="N24" i="2" s="1"/>
  <c r="O24" i="2" s="1"/>
  <c r="P24" i="2" s="1"/>
  <c r="Q24" i="2" s="1"/>
  <c r="R24" i="2" s="1"/>
  <c r="S24" i="2" s="1"/>
  <c r="T24" i="2" s="1"/>
  <c r="U24" i="2" s="1"/>
  <c r="V24" i="2" s="1"/>
  <c r="W24" i="2" s="1"/>
  <c r="X24" i="2" s="1"/>
  <c r="Y24" i="2" s="1"/>
  <c r="Z24" i="2" s="1"/>
  <c r="AA24" i="2" s="1"/>
  <c r="AB24" i="2" s="1"/>
  <c r="AC24" i="2" s="1"/>
  <c r="AD24" i="2" s="1"/>
  <c r="AE24" i="2" s="1"/>
  <c r="AF24" i="2" s="1"/>
  <c r="AG24" i="2" s="1"/>
  <c r="AH24" i="2" s="1"/>
  <c r="AI24" i="2" s="1"/>
  <c r="AJ24" i="2" s="1"/>
  <c r="G24" i="2"/>
  <c r="C16" i="2"/>
  <c r="C15" i="2"/>
  <c r="C13" i="2"/>
  <c r="I12" i="2"/>
  <c r="D36" i="2" l="1"/>
  <c r="G30" i="2"/>
  <c r="AG36" i="2"/>
  <c r="AC36" i="2"/>
  <c r="Y36" i="2"/>
  <c r="U36" i="2"/>
  <c r="Q36" i="2"/>
  <c r="M36" i="2"/>
  <c r="I36" i="2"/>
  <c r="AJ36" i="2"/>
  <c r="AF36" i="2"/>
  <c r="AB36" i="2"/>
  <c r="X36" i="2"/>
  <c r="T36" i="2"/>
  <c r="P36" i="2"/>
  <c r="L36" i="2"/>
  <c r="H36" i="2"/>
  <c r="AI36" i="2"/>
  <c r="AE36" i="2"/>
  <c r="AA36" i="2"/>
  <c r="W36" i="2"/>
  <c r="S36" i="2"/>
  <c r="O36" i="2"/>
  <c r="K36" i="2"/>
  <c r="G36" i="2"/>
  <c r="AD36" i="2"/>
  <c r="N36" i="2"/>
  <c r="Z36" i="2"/>
  <c r="J36" i="2"/>
  <c r="R36" i="2"/>
  <c r="D38" i="2"/>
  <c r="D37" i="2"/>
  <c r="V36" i="2"/>
  <c r="AH36" i="2"/>
  <c r="C8" i="2"/>
  <c r="C10" i="2" s="1"/>
  <c r="H30" i="2"/>
  <c r="H35" i="2" s="1"/>
  <c r="I26" i="2"/>
  <c r="G35" i="2"/>
  <c r="AI52" i="2"/>
  <c r="AE52" i="2"/>
  <c r="AA52" i="2"/>
  <c r="W52" i="2"/>
  <c r="S52" i="2"/>
  <c r="O52" i="2"/>
  <c r="K52" i="2"/>
  <c r="G52" i="2"/>
  <c r="AH52" i="2"/>
  <c r="AD52" i="2"/>
  <c r="Z52" i="2"/>
  <c r="V52" i="2"/>
  <c r="R52" i="2"/>
  <c r="N52" i="2"/>
  <c r="J52" i="2"/>
  <c r="AG52" i="2"/>
  <c r="AC52" i="2"/>
  <c r="Y52" i="2"/>
  <c r="U52" i="2"/>
  <c r="Q52" i="2"/>
  <c r="M52" i="2"/>
  <c r="I52" i="2"/>
  <c r="AJ52" i="2"/>
  <c r="T52" i="2"/>
  <c r="AF52" i="2"/>
  <c r="P52" i="2"/>
  <c r="AB52" i="2"/>
  <c r="L52" i="2"/>
  <c r="H52" i="2"/>
  <c r="X52" i="2"/>
  <c r="AK52" i="2" l="1"/>
  <c r="AI45" i="2"/>
  <c r="AE45" i="2"/>
  <c r="AA45" i="2"/>
  <c r="W45" i="2"/>
  <c r="S45" i="2"/>
  <c r="O45" i="2"/>
  <c r="K45" i="2"/>
  <c r="G45" i="2"/>
  <c r="F54" i="2"/>
  <c r="AH45" i="2"/>
  <c r="AD45" i="2"/>
  <c r="Z45" i="2"/>
  <c r="V45" i="2"/>
  <c r="R45" i="2"/>
  <c r="N45" i="2"/>
  <c r="J45" i="2"/>
  <c r="AG45" i="2"/>
  <c r="AC45" i="2"/>
  <c r="Y45" i="2"/>
  <c r="U45" i="2"/>
  <c r="Q45" i="2"/>
  <c r="M45" i="2"/>
  <c r="I45" i="2"/>
  <c r="AF45" i="2"/>
  <c r="P45" i="2"/>
  <c r="AB45" i="2"/>
  <c r="L45" i="2"/>
  <c r="X45" i="2"/>
  <c r="H45" i="2"/>
  <c r="T45" i="2"/>
  <c r="AJ45" i="2"/>
  <c r="AG37" i="2"/>
  <c r="AC37" i="2"/>
  <c r="Y37" i="2"/>
  <c r="U37" i="2"/>
  <c r="Q37" i="2"/>
  <c r="M37" i="2"/>
  <c r="I37" i="2"/>
  <c r="AJ37" i="2"/>
  <c r="AF37" i="2"/>
  <c r="AB37" i="2"/>
  <c r="AB40" i="2" s="1"/>
  <c r="X37" i="2"/>
  <c r="T37" i="2"/>
  <c r="T40" i="2" s="1"/>
  <c r="P37" i="2"/>
  <c r="L37" i="2"/>
  <c r="H37" i="2"/>
  <c r="AI37" i="2"/>
  <c r="AE37" i="2"/>
  <c r="AA37" i="2"/>
  <c r="W37" i="2"/>
  <c r="S37" i="2"/>
  <c r="O37" i="2"/>
  <c r="K37" i="2"/>
  <c r="G37" i="2"/>
  <c r="AD37" i="2"/>
  <c r="N37" i="2"/>
  <c r="Z37" i="2"/>
  <c r="J37" i="2"/>
  <c r="R37" i="2"/>
  <c r="V37" i="2"/>
  <c r="AH37" i="2"/>
  <c r="AH40" i="2" s="1"/>
  <c r="AK36" i="2"/>
  <c r="AH38" i="2"/>
  <c r="AD38" i="2"/>
  <c r="Z38" i="2"/>
  <c r="V38" i="2"/>
  <c r="R38" i="2"/>
  <c r="N38" i="2"/>
  <c r="N40" i="2" s="1"/>
  <c r="AJ38" i="2"/>
  <c r="AF38" i="2"/>
  <c r="AB38" i="2"/>
  <c r="X38" i="2"/>
  <c r="T38" i="2"/>
  <c r="P38" i="2"/>
  <c r="L38" i="2"/>
  <c r="AE38" i="2"/>
  <c r="AE40" i="2" s="1"/>
  <c r="W38" i="2"/>
  <c r="O38" i="2"/>
  <c r="O40" i="2" s="1"/>
  <c r="I38" i="2"/>
  <c r="AC38" i="2"/>
  <c r="AC40" i="2" s="1"/>
  <c r="U38" i="2"/>
  <c r="M38" i="2"/>
  <c r="H38" i="2"/>
  <c r="AI38" i="2"/>
  <c r="AA38" i="2"/>
  <c r="S38" i="2"/>
  <c r="K38" i="2"/>
  <c r="G38" i="2"/>
  <c r="Q38" i="2"/>
  <c r="Q40" i="2" s="1"/>
  <c r="J38" i="2"/>
  <c r="AG38" i="2"/>
  <c r="AG40" i="2" s="1"/>
  <c r="Y38" i="2"/>
  <c r="I30" i="2"/>
  <c r="I35" i="2" s="1"/>
  <c r="J26" i="2"/>
  <c r="I3" i="2"/>
  <c r="AA40" i="2" l="1"/>
  <c r="Z40" i="2"/>
  <c r="L40" i="2"/>
  <c r="M40" i="2"/>
  <c r="P40" i="2"/>
  <c r="AF40" i="2"/>
  <c r="V40" i="2"/>
  <c r="R40" i="2"/>
  <c r="AD40" i="2"/>
  <c r="AI40" i="2"/>
  <c r="AJ40" i="2"/>
  <c r="U40" i="2"/>
  <c r="G40" i="2"/>
  <c r="G42" i="2" s="1"/>
  <c r="G62" i="2" s="1"/>
  <c r="W40" i="2"/>
  <c r="J40" i="2"/>
  <c r="H40" i="2"/>
  <c r="H42" i="2" s="1"/>
  <c r="X40" i="2"/>
  <c r="I40" i="2"/>
  <c r="I42" i="2" s="1"/>
  <c r="Y40" i="2"/>
  <c r="S40" i="2"/>
  <c r="K40" i="2"/>
  <c r="C56" i="2"/>
  <c r="AG44" i="2"/>
  <c r="AC44" i="2"/>
  <c r="Y44" i="2"/>
  <c r="U44" i="2"/>
  <c r="Q44" i="2"/>
  <c r="M44" i="2"/>
  <c r="I44" i="2"/>
  <c r="AJ44" i="2"/>
  <c r="AF44" i="2"/>
  <c r="AB44" i="2"/>
  <c r="X44" i="2"/>
  <c r="T44" i="2"/>
  <c r="P44" i="2"/>
  <c r="L44" i="2"/>
  <c r="H44" i="2"/>
  <c r="AI44" i="2"/>
  <c r="AE44" i="2"/>
  <c r="AA44" i="2"/>
  <c r="W44" i="2"/>
  <c r="S44" i="2"/>
  <c r="O44" i="2"/>
  <c r="K44" i="2"/>
  <c r="G44" i="2"/>
  <c r="AD44" i="2"/>
  <c r="N44" i="2"/>
  <c r="Z44" i="2"/>
  <c r="J44" i="2"/>
  <c r="V44" i="2"/>
  <c r="AH44" i="2"/>
  <c r="R44" i="2"/>
  <c r="AK38" i="2"/>
  <c r="AK37" i="2"/>
  <c r="J30" i="2"/>
  <c r="J35" i="2" s="1"/>
  <c r="J42" i="2" s="1"/>
  <c r="K26" i="2"/>
  <c r="G48" i="2" l="1"/>
  <c r="AK40" i="2"/>
  <c r="H48" i="2"/>
  <c r="H54" i="2" s="1"/>
  <c r="K30" i="2"/>
  <c r="K35" i="2" s="1"/>
  <c r="K42" i="2" s="1"/>
  <c r="L26" i="2"/>
  <c r="J48" i="2"/>
  <c r="I48" i="2"/>
  <c r="G54" i="2" l="1"/>
  <c r="G56" i="2" s="1"/>
  <c r="K48" i="2"/>
  <c r="G64" i="2"/>
  <c r="L30" i="2"/>
  <c r="M26" i="2"/>
  <c r="J54" i="2" l="1"/>
  <c r="M30" i="2"/>
  <c r="M35" i="2" s="1"/>
  <c r="M42" i="2" s="1"/>
  <c r="M48" i="2" s="1"/>
  <c r="N26" i="2"/>
  <c r="L35" i="2"/>
  <c r="H56" i="2"/>
  <c r="I54" i="2"/>
  <c r="I56" i="2" l="1"/>
  <c r="J56" i="2" s="1"/>
  <c r="N30" i="2"/>
  <c r="N35" i="2" s="1"/>
  <c r="N42" i="2" s="1"/>
  <c r="N48" i="2" s="1"/>
  <c r="O26" i="2"/>
  <c r="K54" i="2"/>
  <c r="K56" i="2" s="1"/>
  <c r="M54" i="2"/>
  <c r="L42" i="2"/>
  <c r="N54" i="2" l="1"/>
  <c r="O30" i="2"/>
  <c r="O35" i="2" s="1"/>
  <c r="O42" i="2" s="1"/>
  <c r="O48" i="2" s="1"/>
  <c r="P26" i="2"/>
  <c r="L48" i="2"/>
  <c r="O54" i="2" l="1"/>
  <c r="P30" i="2"/>
  <c r="P35" i="2" s="1"/>
  <c r="P42" i="2" s="1"/>
  <c r="P48" i="2" s="1"/>
  <c r="Q26" i="2"/>
  <c r="L54" i="2" l="1"/>
  <c r="L56" i="2"/>
  <c r="Q30" i="2"/>
  <c r="Q35" i="2" s="1"/>
  <c r="Q42" i="2" s="1"/>
  <c r="Q48" i="2" s="1"/>
  <c r="R26" i="2"/>
  <c r="P54" i="2" l="1"/>
  <c r="Q54" i="2"/>
  <c r="M56" i="2"/>
  <c r="N56" i="2" s="1"/>
  <c r="O56" i="2" s="1"/>
  <c r="R30" i="2"/>
  <c r="R35" i="2" s="1"/>
  <c r="R42" i="2" s="1"/>
  <c r="R48" i="2" s="1"/>
  <c r="S26" i="2"/>
  <c r="P56" i="2" l="1"/>
  <c r="T26" i="2"/>
  <c r="S30" i="2"/>
  <c r="S35" i="2" s="1"/>
  <c r="S42" i="2" s="1"/>
  <c r="S48" i="2" s="1"/>
  <c r="R54" i="2"/>
  <c r="Q56" i="2"/>
  <c r="S54" i="2" l="1"/>
  <c r="R56" i="2"/>
  <c r="T30" i="2"/>
  <c r="T35" i="2" s="1"/>
  <c r="T42" i="2" s="1"/>
  <c r="T48" i="2" s="1"/>
  <c r="U26" i="2"/>
  <c r="U30" i="2" l="1"/>
  <c r="U35" i="2" s="1"/>
  <c r="U42" i="2" s="1"/>
  <c r="U48" i="2" s="1"/>
  <c r="V26" i="2"/>
  <c r="T54" i="2"/>
  <c r="S56" i="2"/>
  <c r="T56" i="2" l="1"/>
  <c r="V30" i="2"/>
  <c r="V35" i="2" s="1"/>
  <c r="V42" i="2" s="1"/>
  <c r="V48" i="2" s="1"/>
  <c r="W26" i="2"/>
  <c r="U54" i="2" l="1"/>
  <c r="W30" i="2"/>
  <c r="W35" i="2" s="1"/>
  <c r="W42" i="2" s="1"/>
  <c r="W48" i="2" s="1"/>
  <c r="X26" i="2"/>
  <c r="V54" i="2"/>
  <c r="U56" i="2"/>
  <c r="X30" i="2" l="1"/>
  <c r="X35" i="2" s="1"/>
  <c r="X42" i="2" s="1"/>
  <c r="X48" i="2" s="1"/>
  <c r="Y26" i="2"/>
  <c r="V56" i="2"/>
  <c r="W54" i="2" l="1"/>
  <c r="W56" i="2" s="1"/>
  <c r="Y30" i="2"/>
  <c r="Y35" i="2" s="1"/>
  <c r="Y42" i="2" s="1"/>
  <c r="Y48" i="2" s="1"/>
  <c r="Z26" i="2"/>
  <c r="X54" i="2" l="1"/>
  <c r="Z30" i="2"/>
  <c r="Z35" i="2" s="1"/>
  <c r="Z42" i="2" s="1"/>
  <c r="Z48" i="2" s="1"/>
  <c r="AA26" i="2"/>
  <c r="Y54" i="2"/>
  <c r="X56" i="2"/>
  <c r="Y56" i="2" l="1"/>
  <c r="AA30" i="2"/>
  <c r="AA35" i="2" s="1"/>
  <c r="AA42" i="2" s="1"/>
  <c r="AA48" i="2" s="1"/>
  <c r="AB26" i="2"/>
  <c r="Z54" i="2"/>
  <c r="AA54" i="2" l="1"/>
  <c r="AB30" i="2"/>
  <c r="AB35" i="2" s="1"/>
  <c r="AB42" i="2" s="1"/>
  <c r="AB48" i="2" s="1"/>
  <c r="AC26" i="2"/>
  <c r="Z56" i="2"/>
  <c r="AB54" i="2" l="1"/>
  <c r="AA56" i="2"/>
  <c r="AC30" i="2"/>
  <c r="AC35" i="2" s="1"/>
  <c r="AC42" i="2" s="1"/>
  <c r="AC48" i="2" s="1"/>
  <c r="AD26" i="2"/>
  <c r="AD30" i="2" l="1"/>
  <c r="AD35" i="2" s="1"/>
  <c r="AD42" i="2" s="1"/>
  <c r="AD48" i="2" s="1"/>
  <c r="AE26" i="2"/>
  <c r="AB56" i="2"/>
  <c r="AC54" i="2" l="1"/>
  <c r="AC56" i="2"/>
  <c r="AE30" i="2"/>
  <c r="AE35" i="2" s="1"/>
  <c r="AE42" i="2" s="1"/>
  <c r="AE48" i="2" s="1"/>
  <c r="AF26" i="2"/>
  <c r="AD54" i="2" l="1"/>
  <c r="AE54" i="2"/>
  <c r="AF30" i="2"/>
  <c r="AF35" i="2" s="1"/>
  <c r="AF42" i="2" s="1"/>
  <c r="AF48" i="2" s="1"/>
  <c r="AG26" i="2"/>
  <c r="AD56" i="2"/>
  <c r="AF54" i="2" l="1"/>
  <c r="AE56" i="2"/>
  <c r="AG30" i="2"/>
  <c r="AG35" i="2" s="1"/>
  <c r="AG42" i="2" s="1"/>
  <c r="AG48" i="2" s="1"/>
  <c r="AH26" i="2"/>
  <c r="AF56" i="2" l="1"/>
  <c r="AH30" i="2"/>
  <c r="AH35" i="2" s="1"/>
  <c r="AH42" i="2" s="1"/>
  <c r="AH48" i="2" s="1"/>
  <c r="AI26" i="2"/>
  <c r="AG54" i="2"/>
  <c r="AH54" i="2" l="1"/>
  <c r="AI30" i="2"/>
  <c r="AI35" i="2" s="1"/>
  <c r="AI42" i="2" s="1"/>
  <c r="AI48" i="2" s="1"/>
  <c r="AJ26" i="2"/>
  <c r="AG56" i="2"/>
  <c r="AH56" i="2" l="1"/>
  <c r="AJ30" i="2"/>
  <c r="AK26" i="2"/>
  <c r="AI54" i="2" l="1"/>
  <c r="AI56" i="2" s="1"/>
  <c r="AJ35" i="2"/>
  <c r="AK30" i="2"/>
  <c r="AJ42" i="2" l="1"/>
  <c r="AK35" i="2"/>
  <c r="AJ48" i="2" l="1"/>
  <c r="AK42" i="2"/>
  <c r="AK50" i="2" l="1"/>
  <c r="AK51" i="2"/>
  <c r="AK48" i="2"/>
  <c r="AJ54" i="2" l="1"/>
  <c r="AK54" i="2" l="1"/>
  <c r="G59" i="2" s="1"/>
  <c r="AJ56" i="2"/>
  <c r="G6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magni</author>
  </authors>
  <commentList>
    <comment ref="B14" authorId="0" shapeId="0" xr:uid="{53EE2FCA-F69A-4A26-B76B-1BAF01C7635C}">
      <text>
        <r>
          <rPr>
            <b/>
            <sz val="9"/>
            <color indexed="81"/>
            <rFont val="Tahoma"/>
            <family val="2"/>
          </rPr>
          <t>magni:</t>
        </r>
        <r>
          <rPr>
            <sz val="9"/>
            <color indexed="81"/>
            <rFont val="Tahoma"/>
            <family val="2"/>
          </rPr>
          <t xml:space="preserve">
tasso di attualizzazione. Nel nostro foglio di calcolo è al 12%
</t>
        </r>
      </text>
    </comment>
  </commentList>
</comments>
</file>

<file path=xl/sharedStrings.xml><?xml version="1.0" encoding="utf-8"?>
<sst xmlns="http://schemas.openxmlformats.org/spreadsheetml/2006/main" count="82" uniqueCount="63">
  <si>
    <t>CANTINA MADDALENA</t>
  </si>
  <si>
    <t>SCUOLA ELEMENTARE LEWIS</t>
  </si>
  <si>
    <t>CENTRO SPORTIVO FRAIS</t>
  </si>
  <si>
    <t>Power (kWel)</t>
  </si>
  <si>
    <t>kW</t>
  </si>
  <si>
    <t>Rata</t>
  </si>
  <si>
    <t>€</t>
  </si>
  <si>
    <t>autocons.</t>
  </si>
  <si>
    <t>Degradation</t>
  </si>
  <si>
    <t>risparmio</t>
  </si>
  <si>
    <t>€/kWh</t>
  </si>
  <si>
    <t>Inflation</t>
  </si>
  <si>
    <t>Turn key + autorization (€)</t>
  </si>
  <si>
    <t>Tariffa energia</t>
  </si>
  <si>
    <t>Total Investment (€)</t>
  </si>
  <si>
    <t>IRES</t>
  </si>
  <si>
    <t>IRAP</t>
  </si>
  <si>
    <t>Equity  (outflow) (€)</t>
  </si>
  <si>
    <t>anni</t>
  </si>
  <si>
    <t>IMU</t>
  </si>
  <si>
    <t>Refinancing Base Euribor 3 months</t>
  </si>
  <si>
    <t>www.euribor.it/</t>
  </si>
  <si>
    <t>Spread</t>
  </si>
  <si>
    <t>Manutenzione [euro/Kwel]</t>
  </si>
  <si>
    <t>Interest Rate</t>
  </si>
  <si>
    <t>WACC</t>
  </si>
  <si>
    <t>Duration (m) calcolo</t>
  </si>
  <si>
    <t>mesi</t>
  </si>
  <si>
    <t>Duration</t>
  </si>
  <si>
    <t>PIANO ECONOMICO FINANZIARIO</t>
  </si>
  <si>
    <t>Anni</t>
  </si>
  <si>
    <t>TOTALE</t>
  </si>
  <si>
    <t>Generazione Elettrica</t>
  </si>
  <si>
    <t>kWh</t>
  </si>
  <si>
    <t>Previsione PUN</t>
  </si>
  <si>
    <t>Ricavo da Tariffa Incentivante</t>
  </si>
  <si>
    <t>Inflazione</t>
  </si>
  <si>
    <t>Fattore d'Inflazione</t>
  </si>
  <si>
    <t>Ricavi totali (Erning)</t>
  </si>
  <si>
    <t>Manutenzione</t>
  </si>
  <si>
    <t>Conduzione</t>
  </si>
  <si>
    <t>O&amp;M e assicurazione</t>
  </si>
  <si>
    <t>Costi Totali</t>
  </si>
  <si>
    <t>Flussi di Cassa Operativi (EBITDA - margine operativo lordo)</t>
  </si>
  <si>
    <t xml:space="preserve">Rata (ipotesi) </t>
  </si>
  <si>
    <t xml:space="preserve">Ammortamento </t>
  </si>
  <si>
    <t>Profitti ante imposte (EBIT)</t>
  </si>
  <si>
    <t>Ires (Imposta Redditi Societari)</t>
  </si>
  <si>
    <t>Irap (Imposta Regionale Attività Produttive)</t>
  </si>
  <si>
    <t>Net Cash Flow</t>
  </si>
  <si>
    <t>Cash Flow Cumulativo</t>
  </si>
  <si>
    <t xml:space="preserve">Cash flow cumulato (25 anni) </t>
  </si>
  <si>
    <t>ROI 1° anno</t>
  </si>
  <si>
    <t>ROE 1° anno</t>
  </si>
  <si>
    <t>Tempo Ritorno Investimento (anni)</t>
  </si>
  <si>
    <t>VAN: valore dei flussi di cassa attesi attualizzati mediante un dato tasso di rendimento</t>
  </si>
  <si>
    <t>TIR: tasso di ritorno effettivo generato da un investimento. In generale un progetto viene perseguito quando il TIR risulta essere maggiore del costo del capitale per quell'investimento</t>
  </si>
  <si>
    <t>ROI: indice di redditività del capitale investito. Calcolato come rapporto tra risultato operativo e capitale investito netto.</t>
  </si>
  <si>
    <t>ROE: è l'indicatore del grado di remunerazione del rischio affrontato dall'imprenditore e dai soci. Calcolato come rapporto tra utile netto e patrimonio netto</t>
  </si>
  <si>
    <t>Costo tot [€]</t>
  </si>
  <si>
    <t>Potenza [kWp]</t>
  </si>
  <si>
    <t>Energia [kWh]</t>
  </si>
  <si>
    <t>Costo spec [€/kWp]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</si>
</sst>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#,##0.00\ &quot;€&quot;;[Red]\-#,##0.00\ &quot;€&quot;"/>
    <numFmt numFmtId="43" formatCode="_-* #,##0.00_-;\-* #,##0.00_-;_-* &quot;-&quot;??_-;_-@_-"/>
    <numFmt numFmtId="164" formatCode="0.0%"/>
    <numFmt numFmtId="165" formatCode="0.000"/>
    <numFmt numFmtId="166" formatCode="_-* #,##0_-;\-* #,##0_-;_-* &quot;-&quot;??_-;_-@_-"/>
    <numFmt numFmtId="167" formatCode="#,##0_%_);\(#,##0\)_%;#,##0_%_);@_%_)"/>
    <numFmt numFmtId="168" formatCode="#,##0.000_%_);\(#,##0.000\)_%;#,##0.000_%_);@_%_)"/>
    <numFmt numFmtId="169" formatCode="&quot;€&quot;\ #,##0.00;[Red]\-&quot;€&quot;\ #,##0.00"/>
    <numFmt numFmtId="170" formatCode="#,##0.00_%_);\(#,##0.00\)_%;#,##0.00_%_);@_%_)"/>
    <numFmt numFmtId="171" formatCode="_-&quot;€&quot;\ * #,##0.00_-;\-&quot;€&quot;\ * #,##0.00_-;_-&quot;€&quot;\ * &quot;-&quot;??_-;_-@_-"/>
    <numFmt numFmtId="172" formatCode="_-&quot;€&quot;\ * #,##0_-;\-&quot;€&quot;\ * #,##0_-;_-&quot;€&quot;\ * &quot;-&quot;??_-;_-@_-"/>
    <numFmt numFmtId="173" formatCode="#,##0.0000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i/>
      <sz val="12"/>
      <name val="Calibri"/>
      <family val="2"/>
    </font>
    <font>
      <i/>
      <sz val="11"/>
      <name val="Calibri"/>
      <family val="2"/>
    </font>
    <font>
      <u/>
      <sz val="11"/>
      <name val="Calibri"/>
      <family val="2"/>
    </font>
    <font>
      <i/>
      <sz val="13"/>
      <name val="Calibri"/>
      <family val="2"/>
    </font>
    <font>
      <sz val="11"/>
      <color indexed="9"/>
      <name val="Calibri"/>
      <family val="2"/>
    </font>
    <font>
      <b/>
      <sz val="12"/>
      <color indexed="9"/>
      <name val="Calibri"/>
      <family val="2"/>
    </font>
    <font>
      <sz val="12"/>
      <color indexed="9"/>
      <name val="Calibri"/>
      <family val="2"/>
    </font>
    <font>
      <sz val="12"/>
      <name val="Calibri"/>
      <family val="2"/>
    </font>
    <font>
      <b/>
      <sz val="11"/>
      <color indexed="10"/>
      <name val="Calibri"/>
      <family val="2"/>
    </font>
    <font>
      <b/>
      <sz val="12"/>
      <color rgb="FFFF0000"/>
      <name val="Calibri"/>
      <family val="2"/>
    </font>
    <font>
      <sz val="11"/>
      <name val="Segoe UI Light"/>
      <family val="2"/>
    </font>
    <font>
      <b/>
      <sz val="11"/>
      <color indexed="9"/>
      <name val="Calibri"/>
      <family val="2"/>
    </font>
    <font>
      <b/>
      <sz val="12"/>
      <name val="Calibri"/>
      <family val="2"/>
    </font>
    <font>
      <b/>
      <sz val="12"/>
      <color indexed="9"/>
      <name val="Calibri Light"/>
      <family val="2"/>
    </font>
    <font>
      <sz val="12"/>
      <color indexed="9"/>
      <name val="Calibri Light"/>
      <family val="2"/>
    </font>
    <font>
      <b/>
      <sz val="12"/>
      <name val="Calibri Light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71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/>
    <xf numFmtId="0" fontId="4" fillId="0" borderId="0" xfId="0" applyFont="1"/>
    <xf numFmtId="2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center"/>
    </xf>
    <xf numFmtId="0" fontId="5" fillId="0" borderId="1" xfId="0" applyFont="1" applyBorder="1"/>
    <xf numFmtId="4" fontId="3" fillId="0" borderId="1" xfId="0" applyNumberFormat="1" applyFont="1" applyBorder="1"/>
    <xf numFmtId="0" fontId="6" fillId="0" borderId="1" xfId="0" applyFont="1" applyBorder="1"/>
    <xf numFmtId="0" fontId="4" fillId="2" borderId="0" xfId="0" applyFont="1" applyFill="1"/>
    <xf numFmtId="4" fontId="4" fillId="2" borderId="0" xfId="0" applyNumberFormat="1" applyFont="1" applyFill="1"/>
    <xf numFmtId="3" fontId="3" fillId="0" borderId="1" xfId="0" applyNumberFormat="1" applyFont="1" applyBorder="1"/>
    <xf numFmtId="0" fontId="6" fillId="3" borderId="1" xfId="0" applyFont="1" applyFill="1" applyBorder="1"/>
    <xf numFmtId="3" fontId="3" fillId="3" borderId="1" xfId="0" applyNumberFormat="1" applyFont="1" applyFill="1" applyBorder="1"/>
    <xf numFmtId="0" fontId="4" fillId="3" borderId="1" xfId="0" applyFont="1" applyFill="1" applyBorder="1"/>
    <xf numFmtId="0" fontId="6" fillId="4" borderId="1" xfId="0" applyFont="1" applyFill="1" applyBorder="1"/>
    <xf numFmtId="9" fontId="3" fillId="0" borderId="1" xfId="2" applyFont="1" applyFill="1" applyBorder="1"/>
    <xf numFmtId="0" fontId="3" fillId="3" borderId="1" xfId="0" applyFont="1" applyFill="1" applyBorder="1"/>
    <xf numFmtId="164" fontId="3" fillId="0" borderId="1" xfId="0" applyNumberFormat="1" applyFont="1" applyBorder="1"/>
    <xf numFmtId="10" fontId="3" fillId="0" borderId="1" xfId="0" applyNumberFormat="1" applyFont="1" applyBorder="1"/>
    <xf numFmtId="165" fontId="3" fillId="0" borderId="1" xfId="0" applyNumberFormat="1" applyFont="1" applyBorder="1"/>
    <xf numFmtId="0" fontId="4" fillId="0" borderId="1" xfId="0" applyFont="1" applyBorder="1"/>
    <xf numFmtId="9" fontId="3" fillId="0" borderId="1" xfId="0" applyNumberFormat="1" applyFont="1" applyBorder="1"/>
    <xf numFmtId="10" fontId="3" fillId="3" borderId="1" xfId="0" applyNumberFormat="1" applyFont="1" applyFill="1" applyBorder="1"/>
    <xf numFmtId="0" fontId="7" fillId="3" borderId="1" xfId="3" applyFont="1" applyFill="1" applyBorder="1" applyAlignment="1" applyProtection="1"/>
    <xf numFmtId="10" fontId="4" fillId="0" borderId="0" xfId="0" applyNumberFormat="1" applyFont="1"/>
    <xf numFmtId="2" fontId="4" fillId="0" borderId="0" xfId="0" applyNumberFormat="1" applyFont="1"/>
    <xf numFmtId="166" fontId="4" fillId="0" borderId="0" xfId="1" applyNumberFormat="1" applyFont="1"/>
    <xf numFmtId="3" fontId="4" fillId="0" borderId="0" xfId="0" applyNumberFormat="1" applyFont="1"/>
    <xf numFmtId="10" fontId="4" fillId="0" borderId="0" xfId="2" applyNumberFormat="1" applyFont="1"/>
    <xf numFmtId="0" fontId="6" fillId="0" borderId="0" xfId="0" applyFont="1"/>
    <xf numFmtId="0" fontId="8" fillId="0" borderId="0" xfId="0" applyFont="1"/>
    <xf numFmtId="0" fontId="6" fillId="0" borderId="0" xfId="0" applyFont="1" applyAlignment="1">
      <alignment horizontal="left"/>
    </xf>
    <xf numFmtId="0" fontId="9" fillId="5" borderId="2" xfId="0" applyFont="1" applyFill="1" applyBorder="1" applyAlignment="1">
      <alignment horizontal="center"/>
    </xf>
    <xf numFmtId="0" fontId="10" fillId="6" borderId="1" xfId="0" applyFont="1" applyFill="1" applyBorder="1"/>
    <xf numFmtId="0" fontId="11" fillId="6" borderId="1" xfId="0" applyFont="1" applyFill="1" applyBorder="1"/>
    <xf numFmtId="0" fontId="10" fillId="6" borderId="1" xfId="0" applyFont="1" applyFill="1" applyBorder="1" applyAlignment="1">
      <alignment horizontal="center"/>
    </xf>
    <xf numFmtId="0" fontId="12" fillId="0" borderId="0" xfId="0" applyFont="1"/>
    <xf numFmtId="0" fontId="4" fillId="2" borderId="1" xfId="0" applyFont="1" applyFill="1" applyBorder="1"/>
    <xf numFmtId="167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167" fontId="4" fillId="2" borderId="1" xfId="0" applyNumberFormat="1" applyFont="1" applyFill="1" applyBorder="1"/>
    <xf numFmtId="164" fontId="4" fillId="2" borderId="1" xfId="2" applyNumberFormat="1" applyFont="1" applyFill="1" applyBorder="1" applyAlignment="1"/>
    <xf numFmtId="165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168" fontId="4" fillId="0" borderId="1" xfId="0" applyNumberFormat="1" applyFont="1" applyBorder="1"/>
    <xf numFmtId="168" fontId="4" fillId="2" borderId="1" xfId="0" applyNumberFormat="1" applyFont="1" applyFill="1" applyBorder="1"/>
    <xf numFmtId="10" fontId="4" fillId="2" borderId="1" xfId="2" applyNumberFormat="1" applyFont="1" applyFill="1" applyBorder="1" applyAlignment="1"/>
    <xf numFmtId="0" fontId="0" fillId="0" borderId="3" xfId="0" applyBorder="1"/>
    <xf numFmtId="10" fontId="4" fillId="2" borderId="1" xfId="0" applyNumberFormat="1" applyFont="1" applyFill="1" applyBorder="1" applyAlignment="1">
      <alignment horizontal="left"/>
    </xf>
    <xf numFmtId="0" fontId="13" fillId="2" borderId="1" xfId="0" applyFont="1" applyFill="1" applyBorder="1" applyAlignment="1">
      <alignment horizontal="right"/>
    </xf>
    <xf numFmtId="10" fontId="4" fillId="2" borderId="1" xfId="0" applyNumberFormat="1" applyFont="1" applyFill="1" applyBorder="1"/>
    <xf numFmtId="167" fontId="10" fillId="6" borderId="1" xfId="0" applyNumberFormat="1" applyFont="1" applyFill="1" applyBorder="1"/>
    <xf numFmtId="169" fontId="4" fillId="0" borderId="1" xfId="1" applyNumberFormat="1" applyFont="1" applyFill="1" applyBorder="1"/>
    <xf numFmtId="3" fontId="4" fillId="2" borderId="1" xfId="0" applyNumberFormat="1" applyFont="1" applyFill="1" applyBorder="1"/>
    <xf numFmtId="3" fontId="4" fillId="0" borderId="1" xfId="0" applyNumberFormat="1" applyFont="1" applyBorder="1"/>
    <xf numFmtId="8" fontId="4" fillId="0" borderId="1" xfId="0" applyNumberFormat="1" applyFont="1" applyBorder="1"/>
    <xf numFmtId="1" fontId="14" fillId="3" borderId="1" xfId="0" applyNumberFormat="1" applyFont="1" applyFill="1" applyBorder="1"/>
    <xf numFmtId="170" fontId="4" fillId="2" borderId="1" xfId="0" applyNumberFormat="1" applyFont="1" applyFill="1" applyBorder="1"/>
    <xf numFmtId="170" fontId="15" fillId="2" borderId="1" xfId="0" applyNumberFormat="1" applyFont="1" applyFill="1" applyBorder="1"/>
    <xf numFmtId="3" fontId="10" fillId="6" borderId="1" xfId="0" applyNumberFormat="1" applyFont="1" applyFill="1" applyBorder="1" applyAlignment="1">
      <alignment horizontal="center"/>
    </xf>
    <xf numFmtId="167" fontId="16" fillId="6" borderId="1" xfId="0" applyNumberFormat="1" applyFont="1" applyFill="1" applyBorder="1"/>
    <xf numFmtId="0" fontId="9" fillId="6" borderId="1" xfId="0" applyFont="1" applyFill="1" applyBorder="1"/>
    <xf numFmtId="3" fontId="16" fillId="6" borderId="1" xfId="0" applyNumberFormat="1" applyFont="1" applyFill="1" applyBorder="1" applyAlignment="1">
      <alignment horizontal="center"/>
    </xf>
    <xf numFmtId="172" fontId="14" fillId="3" borderId="1" xfId="4" applyNumberFormat="1" applyFont="1" applyFill="1" applyBorder="1" applyAlignment="1">
      <alignment horizontal="center"/>
    </xf>
    <xf numFmtId="9" fontId="12" fillId="0" borderId="0" xfId="2" applyFont="1"/>
    <xf numFmtId="10" fontId="17" fillId="7" borderId="1" xfId="0" applyNumberFormat="1" applyFont="1" applyFill="1" applyBorder="1" applyAlignment="1">
      <alignment horizontal="center"/>
    </xf>
    <xf numFmtId="173" fontId="12" fillId="0" borderId="0" xfId="0" applyNumberFormat="1" applyFont="1"/>
    <xf numFmtId="0" fontId="10" fillId="6" borderId="4" xfId="0" applyFont="1" applyFill="1" applyBorder="1"/>
    <xf numFmtId="0" fontId="11" fillId="6" borderId="5" xfId="0" applyFont="1" applyFill="1" applyBorder="1"/>
    <xf numFmtId="10" fontId="17" fillId="7" borderId="6" xfId="0" applyNumberFormat="1" applyFont="1" applyFill="1" applyBorder="1" applyAlignment="1">
      <alignment horizontal="center"/>
    </xf>
    <xf numFmtId="0" fontId="18" fillId="6" borderId="1" xfId="0" applyFont="1" applyFill="1" applyBorder="1"/>
    <xf numFmtId="0" fontId="19" fillId="6" borderId="1" xfId="0" applyFont="1" applyFill="1" applyBorder="1"/>
    <xf numFmtId="1" fontId="20" fillId="7" borderId="1" xfId="0" applyNumberFormat="1" applyFont="1" applyFill="1" applyBorder="1" applyAlignment="1">
      <alignment horizontal="center"/>
    </xf>
    <xf numFmtId="0" fontId="16" fillId="0" borderId="0" xfId="0" applyFont="1"/>
    <xf numFmtId="0" fontId="9" fillId="0" borderId="0" xfId="0" applyFont="1"/>
    <xf numFmtId="10" fontId="3" fillId="0" borderId="0" xfId="0" applyNumberFormat="1" applyFont="1" applyAlignment="1">
      <alignment horizontal="center"/>
    </xf>
    <xf numFmtId="20" fontId="6" fillId="0" borderId="0" xfId="0" applyNumberFormat="1" applyFont="1"/>
    <xf numFmtId="0" fontId="0" fillId="8" borderId="8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5" xfId="0" applyFill="1" applyBorder="1"/>
    <xf numFmtId="0" fontId="0" fillId="0" borderId="19" xfId="0" applyBorder="1"/>
    <xf numFmtId="0" fontId="0" fillId="0" borderId="17" xfId="0" applyBorder="1"/>
    <xf numFmtId="0" fontId="0" fillId="0" borderId="21" xfId="0" applyBorder="1"/>
    <xf numFmtId="0" fontId="0" fillId="0" borderId="16" xfId="0" applyBorder="1"/>
    <xf numFmtId="0" fontId="0" fillId="8" borderId="22" xfId="0" applyFill="1" applyBorder="1"/>
    <xf numFmtId="0" fontId="0" fillId="0" borderId="12" xfId="0" applyBorder="1"/>
    <xf numFmtId="0" fontId="0" fillId="0" borderId="13" xfId="0" applyBorder="1"/>
    <xf numFmtId="0" fontId="0" fillId="8" borderId="7" xfId="0" applyFill="1" applyBorder="1"/>
    <xf numFmtId="1" fontId="0" fillId="0" borderId="14" xfId="0" applyNumberFormat="1" applyBorder="1"/>
    <xf numFmtId="1" fontId="0" fillId="0" borderId="20" xfId="0" applyNumberFormat="1" applyBorder="1"/>
    <xf numFmtId="1" fontId="0" fillId="0" borderId="18" xfId="0" applyNumberFormat="1" applyBorder="1"/>
  </cellXfs>
  <cellStyles count="5">
    <cellStyle name="Collegamento ipertestuale" xfId="3" builtinId="8"/>
    <cellStyle name="Migliaia" xfId="1" builtinId="3"/>
    <cellStyle name="Normale" xfId="0" builtinId="0"/>
    <cellStyle name="Percentuale" xfId="2" builtinId="5"/>
    <cellStyle name="Valuta 2" xfId="4" xr:uid="{8996CADD-A2BA-4C82-98E8-310C43E445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://www.euribor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EEA6-A84E-41D6-BE4D-B060F230D136}">
  <dimension ref="B2:F6"/>
  <sheetViews>
    <sheetView tabSelected="1" workbookViewId="0">
      <selection activeCell="B3" sqref="B3:F6"/>
    </sheetView>
  </sheetViews>
  <sheetFormatPr defaultRowHeight="14.4" x14ac:dyDescent="0.3"/>
  <cols>
    <col min="2" max="2" width="25.6640625" customWidth="1"/>
    <col min="3" max="5" width="15.77734375" customWidth="1"/>
    <col min="6" max="6" width="20.88671875" customWidth="1"/>
    <col min="7" max="9" width="15.77734375" customWidth="1"/>
  </cols>
  <sheetData>
    <row r="2" spans="2:6" ht="15" thickBot="1" x14ac:dyDescent="0.35"/>
    <row r="3" spans="2:6" ht="15" thickBot="1" x14ac:dyDescent="0.35">
      <c r="B3" s="90"/>
      <c r="C3" s="78" t="s">
        <v>60</v>
      </c>
      <c r="D3" s="79" t="s">
        <v>61</v>
      </c>
      <c r="E3" s="79" t="s">
        <v>59</v>
      </c>
      <c r="F3" s="80" t="s">
        <v>62</v>
      </c>
    </row>
    <row r="4" spans="2:6" x14ac:dyDescent="0.3">
      <c r="B4" s="81" t="s">
        <v>0</v>
      </c>
      <c r="C4" s="88">
        <v>71.3</v>
      </c>
      <c r="D4" s="89">
        <v>71300</v>
      </c>
      <c r="E4" s="89">
        <v>176000</v>
      </c>
      <c r="F4" s="91">
        <f>E4/C4</f>
        <v>2468.4431977559607</v>
      </c>
    </row>
    <row r="5" spans="2:6" x14ac:dyDescent="0.3">
      <c r="B5" s="87" t="s">
        <v>1</v>
      </c>
      <c r="C5" s="85">
        <v>42.1</v>
      </c>
      <c r="D5" s="83">
        <v>42100</v>
      </c>
      <c r="E5" s="83">
        <v>150000</v>
      </c>
      <c r="F5" s="92">
        <f t="shared" ref="F5:F6" si="0">E5/C5</f>
        <v>3562.9453681710211</v>
      </c>
    </row>
    <row r="6" spans="2:6" ht="15" thickBot="1" x14ac:dyDescent="0.35">
      <c r="B6" s="82" t="s">
        <v>2</v>
      </c>
      <c r="C6" s="86">
        <v>10.5</v>
      </c>
      <c r="D6" s="84">
        <v>10500</v>
      </c>
      <c r="E6" s="84">
        <v>36000</v>
      </c>
      <c r="F6" s="93">
        <f t="shared" si="0"/>
        <v>3428.5714285714284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FEC4B-759F-4041-BDDB-DA5ED1C2A002}">
  <dimension ref="B1:AL72"/>
  <sheetViews>
    <sheetView topLeftCell="A62" workbookViewId="0">
      <selection activeCell="C92" sqref="C92"/>
    </sheetView>
  </sheetViews>
  <sheetFormatPr defaultRowHeight="14.4" x14ac:dyDescent="0.3"/>
  <cols>
    <col min="1" max="38" width="15.77734375" customWidth="1"/>
  </cols>
  <sheetData>
    <row r="1" spans="2:38" x14ac:dyDescent="0.3">
      <c r="B1" s="1"/>
      <c r="C1" s="2"/>
      <c r="D1" s="2"/>
      <c r="E1" s="2"/>
      <c r="F1" s="2"/>
      <c r="G1" s="3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2:38" ht="15.6" x14ac:dyDescent="0.3">
      <c r="B2" s="6" t="s">
        <v>3</v>
      </c>
      <c r="C2" s="7">
        <f>Tabelle!C4</f>
        <v>71.3</v>
      </c>
      <c r="D2" s="8" t="s">
        <v>4</v>
      </c>
      <c r="E2" s="9"/>
      <c r="F2" s="9"/>
      <c r="G2" s="10"/>
      <c r="H2" s="9"/>
      <c r="I2" s="9"/>
      <c r="J2" s="9"/>
      <c r="K2" s="9"/>
      <c r="L2" s="5"/>
      <c r="M2" s="5"/>
      <c r="N2" s="5"/>
      <c r="O2" s="5"/>
      <c r="P2" s="5"/>
      <c r="Q2" s="5"/>
      <c r="R2" s="5"/>
      <c r="S2" s="5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</row>
    <row r="3" spans="2:38" ht="15.6" x14ac:dyDescent="0.3">
      <c r="B3" s="6"/>
      <c r="C3" s="11"/>
      <c r="D3" s="8"/>
      <c r="E3" s="2"/>
      <c r="F3" s="2"/>
      <c r="G3" s="2"/>
      <c r="H3" s="12" t="s">
        <v>5</v>
      </c>
      <c r="I3" s="13">
        <f>PMT(C13,C15/12,C8*(1-C9))</f>
        <v>0</v>
      </c>
      <c r="J3" s="14" t="s">
        <v>6</v>
      </c>
      <c r="K3" s="2"/>
      <c r="L3" s="5"/>
      <c r="M3" s="5"/>
      <c r="N3" s="5"/>
      <c r="O3" s="5"/>
      <c r="P3" s="5"/>
      <c r="Q3" s="5"/>
      <c r="R3" s="5"/>
      <c r="S3" s="5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2:38" x14ac:dyDescent="0.3">
      <c r="B4" s="15"/>
      <c r="C4" s="16"/>
      <c r="D4" s="8"/>
      <c r="E4" s="2"/>
      <c r="F4" s="2"/>
      <c r="G4" s="2"/>
      <c r="H4" s="12" t="s">
        <v>7</v>
      </c>
      <c r="I4" s="17">
        <v>0</v>
      </c>
      <c r="J4" s="14"/>
      <c r="K4" s="2"/>
      <c r="L4" s="5"/>
      <c r="M4" s="5"/>
      <c r="N4" s="5"/>
      <c r="O4" s="5"/>
      <c r="P4" s="5"/>
      <c r="Q4" s="5"/>
      <c r="R4" s="5"/>
      <c r="S4" s="5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</row>
    <row r="5" spans="2:38" x14ac:dyDescent="0.3">
      <c r="B5" s="8" t="s">
        <v>8</v>
      </c>
      <c r="C5" s="18">
        <v>0</v>
      </c>
      <c r="D5" s="8"/>
      <c r="E5" s="2"/>
      <c r="F5" s="2"/>
      <c r="G5" s="2"/>
      <c r="H5" s="12" t="s">
        <v>9</v>
      </c>
      <c r="I5" s="17">
        <v>0</v>
      </c>
      <c r="J5" s="14" t="s">
        <v>10</v>
      </c>
      <c r="K5" s="2"/>
      <c r="L5" s="5"/>
      <c r="M5" s="5"/>
      <c r="N5" s="5"/>
      <c r="O5" s="5"/>
      <c r="P5" s="5"/>
      <c r="Q5" s="5"/>
      <c r="R5" s="5"/>
      <c r="S5" s="5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2:38" x14ac:dyDescent="0.3">
      <c r="B6" s="8" t="s">
        <v>11</v>
      </c>
      <c r="C6" s="19">
        <v>5.0000000000000001E-3</v>
      </c>
      <c r="D6" s="8"/>
      <c r="E6" s="2"/>
      <c r="F6" s="2"/>
      <c r="G6" s="2"/>
      <c r="H6" s="8"/>
      <c r="I6" s="20"/>
      <c r="J6" s="21"/>
      <c r="K6" s="2"/>
      <c r="L6" s="5"/>
      <c r="M6" s="5"/>
      <c r="N6" s="5"/>
      <c r="O6" s="5"/>
      <c r="P6" s="5"/>
      <c r="Q6" s="5"/>
      <c r="R6" s="5"/>
      <c r="S6" s="5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2:38" x14ac:dyDescent="0.3">
      <c r="B7" s="8" t="s">
        <v>12</v>
      </c>
      <c r="C7" s="11">
        <f>Tabelle!E4</f>
        <v>176000</v>
      </c>
      <c r="D7" s="8"/>
      <c r="E7" s="2"/>
      <c r="F7" s="2"/>
      <c r="G7" s="2"/>
      <c r="H7" s="8" t="s">
        <v>13</v>
      </c>
      <c r="I7" s="20">
        <v>9.6000000000000002E-2</v>
      </c>
      <c r="J7" s="21" t="s">
        <v>10</v>
      </c>
      <c r="K7" s="2"/>
      <c r="L7" s="5"/>
      <c r="M7" s="5"/>
      <c r="N7" s="5"/>
      <c r="O7" s="5"/>
      <c r="P7" s="5"/>
      <c r="Q7" s="5"/>
      <c r="R7" s="5"/>
      <c r="S7" s="5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2:38" x14ac:dyDescent="0.3">
      <c r="B8" s="8" t="s">
        <v>14</v>
      </c>
      <c r="C8" s="11">
        <f>C7</f>
        <v>176000</v>
      </c>
      <c r="D8" s="8" t="s">
        <v>6</v>
      </c>
      <c r="E8" s="2"/>
      <c r="F8" s="2"/>
      <c r="G8" s="2"/>
      <c r="H8" s="8" t="s">
        <v>15</v>
      </c>
      <c r="I8" s="19">
        <v>0.24</v>
      </c>
      <c r="J8" s="21"/>
      <c r="K8" s="2"/>
      <c r="L8" s="5"/>
      <c r="M8" s="5"/>
      <c r="N8" s="5"/>
      <c r="O8" s="5"/>
      <c r="P8" s="5"/>
      <c r="Q8" s="5"/>
      <c r="R8" s="5"/>
      <c r="S8" s="5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2:38" x14ac:dyDescent="0.3">
      <c r="B9" s="8"/>
      <c r="C9" s="22">
        <v>1</v>
      </c>
      <c r="D9" s="8"/>
      <c r="E9" s="2"/>
      <c r="F9" s="2"/>
      <c r="G9" s="2"/>
      <c r="H9" s="8" t="s">
        <v>16</v>
      </c>
      <c r="I9" s="19">
        <v>3.9E-2</v>
      </c>
      <c r="J9" s="21"/>
      <c r="K9" s="2"/>
      <c r="L9" s="5"/>
      <c r="M9" s="5"/>
      <c r="N9" s="5"/>
      <c r="O9" s="5"/>
      <c r="P9" s="5"/>
      <c r="Q9" s="5"/>
      <c r="R9" s="5"/>
      <c r="S9" s="5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2:38" x14ac:dyDescent="0.3">
      <c r="B10" s="8" t="s">
        <v>17</v>
      </c>
      <c r="C10" s="11">
        <f>+C8*C9</f>
        <v>176000</v>
      </c>
      <c r="D10" s="8"/>
      <c r="E10" s="2">
        <v>30</v>
      </c>
      <c r="F10" s="2" t="s">
        <v>18</v>
      </c>
      <c r="G10" s="2"/>
      <c r="H10" s="8" t="s">
        <v>19</v>
      </c>
      <c r="I10" s="19">
        <v>1.06E-2</v>
      </c>
      <c r="J10" s="21"/>
      <c r="K10" s="2"/>
      <c r="L10" s="5"/>
      <c r="M10" s="5"/>
      <c r="N10" s="5"/>
      <c r="O10" s="5"/>
      <c r="P10" s="5"/>
      <c r="Q10" s="5"/>
      <c r="R10" s="5"/>
      <c r="S10" s="5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2:38" x14ac:dyDescent="0.3">
      <c r="B11" s="12" t="s">
        <v>20</v>
      </c>
      <c r="C11" s="23">
        <v>5.0000000000000001E-3</v>
      </c>
      <c r="D11" s="24" t="s">
        <v>21</v>
      </c>
      <c r="G11" s="2"/>
      <c r="H11" s="25"/>
      <c r="I11" s="2"/>
      <c r="J11" s="2"/>
      <c r="K11" s="2"/>
      <c r="L11" s="5"/>
      <c r="M11" s="5"/>
      <c r="N11" s="5"/>
      <c r="O11" s="5"/>
      <c r="P11" s="5"/>
      <c r="Q11" s="5"/>
      <c r="R11" s="5"/>
      <c r="S11" s="5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2:38" x14ac:dyDescent="0.3">
      <c r="B12" s="12" t="s">
        <v>22</v>
      </c>
      <c r="C12" s="23">
        <v>0.02</v>
      </c>
      <c r="D12" s="12"/>
      <c r="E12" s="2"/>
      <c r="F12" s="2"/>
      <c r="G12" s="26"/>
      <c r="H12" s="25" t="s">
        <v>23</v>
      </c>
      <c r="I12" s="1">
        <f>0.012</f>
        <v>1.2E-2</v>
      </c>
      <c r="J12" s="2"/>
      <c r="K12" s="2"/>
      <c r="L12" s="5"/>
      <c r="M12" s="5"/>
      <c r="N12" s="5"/>
      <c r="O12" s="5"/>
      <c r="P12" s="5"/>
      <c r="Q12" s="5"/>
      <c r="R12" s="5"/>
      <c r="S12" s="5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2:38" x14ac:dyDescent="0.3">
      <c r="B13" s="12" t="s">
        <v>24</v>
      </c>
      <c r="C13" s="23">
        <f>C11+C12</f>
        <v>2.5000000000000001E-2</v>
      </c>
      <c r="D13" s="12"/>
      <c r="E13" s="2"/>
      <c r="F13" s="2"/>
      <c r="G13" s="2"/>
      <c r="H13" s="2"/>
      <c r="I13" s="27"/>
      <c r="J13" s="2"/>
      <c r="K13" s="2"/>
      <c r="L13" s="5"/>
      <c r="M13" s="5"/>
      <c r="N13" s="5"/>
      <c r="O13" s="5"/>
      <c r="P13" s="5"/>
      <c r="Q13" s="5"/>
      <c r="R13" s="5"/>
      <c r="S13" s="5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2:38" x14ac:dyDescent="0.3">
      <c r="B14" s="12" t="s">
        <v>25</v>
      </c>
      <c r="C14" s="23">
        <v>5.5E-2</v>
      </c>
      <c r="D14" s="12"/>
      <c r="E14" s="2"/>
      <c r="F14" s="2"/>
      <c r="G14" s="28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2:38" x14ac:dyDescent="0.3">
      <c r="B15" s="12" t="s">
        <v>26</v>
      </c>
      <c r="C15" s="12">
        <f>12*E15</f>
        <v>180</v>
      </c>
      <c r="D15" s="12" t="s">
        <v>27</v>
      </c>
      <c r="E15" s="2">
        <v>15</v>
      </c>
      <c r="F15" s="2" t="s">
        <v>18</v>
      </c>
      <c r="G15" s="2"/>
      <c r="H15" s="2"/>
      <c r="I15" s="28"/>
      <c r="J15" s="2"/>
      <c r="K15" s="2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2:38" x14ac:dyDescent="0.3">
      <c r="B16" s="12" t="s">
        <v>28</v>
      </c>
      <c r="C16" s="12">
        <f>+C15+36*0</f>
        <v>180</v>
      </c>
      <c r="D16" s="12" t="s">
        <v>27</v>
      </c>
      <c r="E16" s="30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2:38" x14ac:dyDescent="0.3">
      <c r="B17" s="30"/>
      <c r="C17" s="1"/>
      <c r="D17" s="30"/>
      <c r="E17" s="30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2:38" ht="17.399999999999999" x14ac:dyDescent="0.35">
      <c r="B18" s="31" t="s">
        <v>29</v>
      </c>
      <c r="C18" s="1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2:38" ht="17.399999999999999" x14ac:dyDescent="0.35">
      <c r="B19" s="31"/>
      <c r="C19" s="1"/>
      <c r="D19" s="30"/>
      <c r="E19" s="3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2:38" ht="17.399999999999999" x14ac:dyDescent="0.35">
      <c r="B20" s="31"/>
      <c r="C20" s="1"/>
      <c r="D20" s="30"/>
      <c r="E20" s="30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2:38" x14ac:dyDescent="0.3">
      <c r="B21" s="32"/>
      <c r="C21" s="1"/>
      <c r="D21" s="30"/>
      <c r="E21" s="30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2:38" x14ac:dyDescent="0.3">
      <c r="B22" s="30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2:38" x14ac:dyDescent="0.3">
      <c r="B23" s="2"/>
      <c r="C23" s="2"/>
      <c r="D23" s="2"/>
      <c r="E23" s="2"/>
      <c r="F23" s="33">
        <v>0</v>
      </c>
      <c r="G23" s="33">
        <v>1</v>
      </c>
      <c r="H23" s="33">
        <v>2</v>
      </c>
      <c r="I23" s="33">
        <v>3</v>
      </c>
      <c r="J23" s="33">
        <v>4</v>
      </c>
      <c r="K23" s="33">
        <v>5</v>
      </c>
      <c r="L23" s="33">
        <v>6</v>
      </c>
      <c r="M23" s="33">
        <v>7</v>
      </c>
      <c r="N23" s="33">
        <v>8</v>
      </c>
      <c r="O23" s="33">
        <v>9</v>
      </c>
      <c r="P23" s="33">
        <v>10</v>
      </c>
      <c r="Q23" s="33">
        <v>11</v>
      </c>
      <c r="R23" s="33">
        <v>12</v>
      </c>
      <c r="S23" s="33">
        <v>13</v>
      </c>
      <c r="T23" s="33">
        <v>14</v>
      </c>
      <c r="U23" s="33">
        <v>15</v>
      </c>
      <c r="V23" s="33">
        <v>16</v>
      </c>
      <c r="W23" s="33">
        <v>17</v>
      </c>
      <c r="X23" s="33">
        <v>18</v>
      </c>
      <c r="Y23" s="33">
        <v>19</v>
      </c>
      <c r="Z23" s="33">
        <v>20</v>
      </c>
      <c r="AA23" s="33">
        <v>21</v>
      </c>
      <c r="AB23" s="33">
        <v>22</v>
      </c>
      <c r="AC23" s="33">
        <v>23</v>
      </c>
      <c r="AD23" s="33">
        <v>24</v>
      </c>
      <c r="AE23" s="33">
        <v>25</v>
      </c>
      <c r="AF23" s="33">
        <v>26</v>
      </c>
      <c r="AG23" s="33">
        <v>27</v>
      </c>
      <c r="AH23" s="33">
        <v>28</v>
      </c>
      <c r="AI23" s="33">
        <v>29</v>
      </c>
      <c r="AJ23" s="33">
        <v>30</v>
      </c>
      <c r="AK23" s="33"/>
      <c r="AL23" s="2"/>
    </row>
    <row r="24" spans="2:38" ht="15.6" x14ac:dyDescent="0.3">
      <c r="B24" s="34" t="s">
        <v>30</v>
      </c>
      <c r="C24" s="35"/>
      <c r="D24" s="35"/>
      <c r="E24" s="35"/>
      <c r="F24" s="36">
        <v>2025</v>
      </c>
      <c r="G24" s="36">
        <f>+F24+1</f>
        <v>2026</v>
      </c>
      <c r="H24" s="36">
        <f t="shared" ref="H24:AD24" si="0">+G24+1</f>
        <v>2027</v>
      </c>
      <c r="I24" s="36">
        <f t="shared" si="0"/>
        <v>2028</v>
      </c>
      <c r="J24" s="36">
        <f t="shared" si="0"/>
        <v>2029</v>
      </c>
      <c r="K24" s="36">
        <f t="shared" si="0"/>
        <v>2030</v>
      </c>
      <c r="L24" s="36">
        <f t="shared" si="0"/>
        <v>2031</v>
      </c>
      <c r="M24" s="36">
        <f t="shared" si="0"/>
        <v>2032</v>
      </c>
      <c r="N24" s="36">
        <f t="shared" si="0"/>
        <v>2033</v>
      </c>
      <c r="O24" s="36">
        <f t="shared" si="0"/>
        <v>2034</v>
      </c>
      <c r="P24" s="36">
        <f t="shared" si="0"/>
        <v>2035</v>
      </c>
      <c r="Q24" s="36">
        <f t="shared" si="0"/>
        <v>2036</v>
      </c>
      <c r="R24" s="36">
        <f t="shared" si="0"/>
        <v>2037</v>
      </c>
      <c r="S24" s="36">
        <f t="shared" si="0"/>
        <v>2038</v>
      </c>
      <c r="T24" s="36">
        <f t="shared" si="0"/>
        <v>2039</v>
      </c>
      <c r="U24" s="36">
        <f t="shared" si="0"/>
        <v>2040</v>
      </c>
      <c r="V24" s="36">
        <f t="shared" si="0"/>
        <v>2041</v>
      </c>
      <c r="W24" s="36">
        <f t="shared" si="0"/>
        <v>2042</v>
      </c>
      <c r="X24" s="36">
        <f t="shared" si="0"/>
        <v>2043</v>
      </c>
      <c r="Y24" s="36">
        <f t="shared" si="0"/>
        <v>2044</v>
      </c>
      <c r="Z24" s="36">
        <f t="shared" si="0"/>
        <v>2045</v>
      </c>
      <c r="AA24" s="36">
        <f t="shared" si="0"/>
        <v>2046</v>
      </c>
      <c r="AB24" s="36">
        <f t="shared" si="0"/>
        <v>2047</v>
      </c>
      <c r="AC24" s="36">
        <f t="shared" si="0"/>
        <v>2048</v>
      </c>
      <c r="AD24" s="36">
        <f t="shared" si="0"/>
        <v>2049</v>
      </c>
      <c r="AE24" s="36">
        <f>+AD24+1</f>
        <v>2050</v>
      </c>
      <c r="AF24" s="36">
        <f t="shared" ref="AF24:AJ24" si="1">+AE24+1</f>
        <v>2051</v>
      </c>
      <c r="AG24" s="36">
        <f t="shared" si="1"/>
        <v>2052</v>
      </c>
      <c r="AH24" s="36">
        <f t="shared" si="1"/>
        <v>2053</v>
      </c>
      <c r="AI24" s="36">
        <f t="shared" si="1"/>
        <v>2054</v>
      </c>
      <c r="AJ24" s="36">
        <f t="shared" si="1"/>
        <v>2055</v>
      </c>
      <c r="AK24" s="36" t="s">
        <v>31</v>
      </c>
      <c r="AL24" s="37"/>
    </row>
    <row r="25" spans="2:38" x14ac:dyDescent="0.3"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"/>
    </row>
    <row r="26" spans="2:38" x14ac:dyDescent="0.3">
      <c r="B26" s="21" t="s">
        <v>32</v>
      </c>
      <c r="C26" s="21"/>
      <c r="D26" s="21"/>
      <c r="E26" s="39"/>
      <c r="F26" s="40" t="s">
        <v>33</v>
      </c>
      <c r="G26" s="39">
        <f>Tabelle!D4</f>
        <v>71300</v>
      </c>
      <c r="H26" s="41">
        <f>G26</f>
        <v>71300</v>
      </c>
      <c r="I26" s="41">
        <f t="shared" ref="I26:AD26" si="2">H26</f>
        <v>71300</v>
      </c>
      <c r="J26" s="41">
        <f t="shared" si="2"/>
        <v>71300</v>
      </c>
      <c r="K26" s="41">
        <f t="shared" si="2"/>
        <v>71300</v>
      </c>
      <c r="L26" s="41">
        <f t="shared" si="2"/>
        <v>71300</v>
      </c>
      <c r="M26" s="41">
        <f t="shared" si="2"/>
        <v>71300</v>
      </c>
      <c r="N26" s="41">
        <f t="shared" si="2"/>
        <v>71300</v>
      </c>
      <c r="O26" s="41">
        <f t="shared" si="2"/>
        <v>71300</v>
      </c>
      <c r="P26" s="41">
        <f t="shared" si="2"/>
        <v>71300</v>
      </c>
      <c r="Q26" s="41">
        <f t="shared" si="2"/>
        <v>71300</v>
      </c>
      <c r="R26" s="41">
        <f t="shared" si="2"/>
        <v>71300</v>
      </c>
      <c r="S26" s="41">
        <f t="shared" si="2"/>
        <v>71300</v>
      </c>
      <c r="T26" s="41">
        <f t="shared" si="2"/>
        <v>71300</v>
      </c>
      <c r="U26" s="41">
        <f t="shared" si="2"/>
        <v>71300</v>
      </c>
      <c r="V26" s="41">
        <f t="shared" si="2"/>
        <v>71300</v>
      </c>
      <c r="W26" s="41">
        <f t="shared" si="2"/>
        <v>71300</v>
      </c>
      <c r="X26" s="41">
        <f t="shared" si="2"/>
        <v>71300</v>
      </c>
      <c r="Y26" s="41">
        <f t="shared" si="2"/>
        <v>71300</v>
      </c>
      <c r="Z26" s="41">
        <f t="shared" si="2"/>
        <v>71300</v>
      </c>
      <c r="AA26" s="41">
        <f t="shared" si="2"/>
        <v>71300</v>
      </c>
      <c r="AB26" s="41">
        <f t="shared" si="2"/>
        <v>71300</v>
      </c>
      <c r="AC26" s="41">
        <f t="shared" si="2"/>
        <v>71300</v>
      </c>
      <c r="AD26" s="41">
        <f t="shared" si="2"/>
        <v>71300</v>
      </c>
      <c r="AE26" s="41">
        <f>AD26</f>
        <v>71300</v>
      </c>
      <c r="AF26" s="41">
        <f t="shared" ref="AF26:AJ26" si="3">AE26</f>
        <v>71300</v>
      </c>
      <c r="AG26" s="41">
        <f t="shared" si="3"/>
        <v>71300</v>
      </c>
      <c r="AH26" s="41">
        <f t="shared" si="3"/>
        <v>71300</v>
      </c>
      <c r="AI26" s="41">
        <f t="shared" si="3"/>
        <v>71300</v>
      </c>
      <c r="AJ26" s="41">
        <f t="shared" si="3"/>
        <v>71300</v>
      </c>
      <c r="AK26" s="41">
        <f>SUM(G26:AJ26)</f>
        <v>2139000</v>
      </c>
      <c r="AL26" s="2"/>
    </row>
    <row r="27" spans="2:38" x14ac:dyDescent="0.3">
      <c r="B27" s="38"/>
      <c r="C27" s="38"/>
      <c r="D27" s="38"/>
      <c r="E27" s="38"/>
      <c r="F27" s="41"/>
      <c r="G27" s="42"/>
      <c r="H27" s="42"/>
      <c r="I27" s="42"/>
      <c r="J27" s="42"/>
      <c r="K27" s="42"/>
      <c r="L27" s="42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"/>
    </row>
    <row r="28" spans="2:38" x14ac:dyDescent="0.3">
      <c r="B28" s="38" t="s">
        <v>34</v>
      </c>
      <c r="C28" s="21"/>
      <c r="D28" s="21"/>
      <c r="E28" s="43">
        <v>4.07E-2</v>
      </c>
      <c r="F28" s="44" t="s">
        <v>10</v>
      </c>
      <c r="G28" s="45">
        <f>E28</f>
        <v>4.07E-2</v>
      </c>
      <c r="H28" s="46">
        <f t="shared" ref="H28:AD28" si="4">G28</f>
        <v>4.07E-2</v>
      </c>
      <c r="I28" s="46">
        <f t="shared" si="4"/>
        <v>4.07E-2</v>
      </c>
      <c r="J28" s="46">
        <f t="shared" si="4"/>
        <v>4.07E-2</v>
      </c>
      <c r="K28" s="46">
        <f t="shared" si="4"/>
        <v>4.07E-2</v>
      </c>
      <c r="L28" s="46">
        <f t="shared" si="4"/>
        <v>4.07E-2</v>
      </c>
      <c r="M28" s="46">
        <f t="shared" si="4"/>
        <v>4.07E-2</v>
      </c>
      <c r="N28" s="46">
        <f t="shared" si="4"/>
        <v>4.07E-2</v>
      </c>
      <c r="O28" s="46">
        <f t="shared" si="4"/>
        <v>4.07E-2</v>
      </c>
      <c r="P28" s="46">
        <f t="shared" si="4"/>
        <v>4.07E-2</v>
      </c>
      <c r="Q28" s="46">
        <f t="shared" si="4"/>
        <v>4.07E-2</v>
      </c>
      <c r="R28" s="46">
        <f t="shared" si="4"/>
        <v>4.07E-2</v>
      </c>
      <c r="S28" s="46">
        <f t="shared" si="4"/>
        <v>4.07E-2</v>
      </c>
      <c r="T28" s="46">
        <f t="shared" si="4"/>
        <v>4.07E-2</v>
      </c>
      <c r="U28" s="46">
        <f t="shared" si="4"/>
        <v>4.07E-2</v>
      </c>
      <c r="V28" s="46">
        <f t="shared" si="4"/>
        <v>4.07E-2</v>
      </c>
      <c r="W28" s="46">
        <f t="shared" si="4"/>
        <v>4.07E-2</v>
      </c>
      <c r="X28" s="46">
        <f t="shared" si="4"/>
        <v>4.07E-2</v>
      </c>
      <c r="Y28" s="46">
        <f t="shared" si="4"/>
        <v>4.07E-2</v>
      </c>
      <c r="Z28" s="46">
        <f t="shared" si="4"/>
        <v>4.07E-2</v>
      </c>
      <c r="AA28" s="46">
        <f t="shared" si="4"/>
        <v>4.07E-2</v>
      </c>
      <c r="AB28" s="46">
        <f t="shared" si="4"/>
        <v>4.07E-2</v>
      </c>
      <c r="AC28" s="46">
        <f t="shared" si="4"/>
        <v>4.07E-2</v>
      </c>
      <c r="AD28" s="46">
        <f t="shared" si="4"/>
        <v>4.07E-2</v>
      </c>
      <c r="AE28" s="46">
        <f>AD28</f>
        <v>4.07E-2</v>
      </c>
      <c r="AF28" s="46">
        <f t="shared" ref="AF28:AJ28" si="5">AE28</f>
        <v>4.07E-2</v>
      </c>
      <c r="AG28" s="46">
        <f t="shared" si="5"/>
        <v>4.07E-2</v>
      </c>
      <c r="AH28" s="46">
        <f t="shared" si="5"/>
        <v>4.07E-2</v>
      </c>
      <c r="AI28" s="46">
        <f t="shared" si="5"/>
        <v>4.07E-2</v>
      </c>
      <c r="AJ28" s="46">
        <f t="shared" si="5"/>
        <v>4.07E-2</v>
      </c>
      <c r="AK28" s="46"/>
      <c r="AL28" s="2"/>
    </row>
    <row r="29" spans="2:38" x14ac:dyDescent="0.3">
      <c r="B29" s="38"/>
      <c r="C29" s="38"/>
      <c r="D29" s="38"/>
      <c r="E29" s="38"/>
      <c r="F29" s="38"/>
      <c r="G29" s="38"/>
      <c r="H29" s="47"/>
      <c r="I29" s="47"/>
      <c r="J29" s="47"/>
      <c r="K29" s="47"/>
      <c r="L29" s="47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"/>
    </row>
    <row r="30" spans="2:38" x14ac:dyDescent="0.3">
      <c r="B30" s="38" t="s">
        <v>35</v>
      </c>
      <c r="C30" s="21"/>
      <c r="D30" s="21"/>
      <c r="E30" s="38"/>
      <c r="F30" s="44" t="s">
        <v>6</v>
      </c>
      <c r="G30" s="41">
        <f t="shared" ref="G30:AJ30" si="6">G26*G28</f>
        <v>2901.91</v>
      </c>
      <c r="H30" s="41">
        <f t="shared" si="6"/>
        <v>2901.91</v>
      </c>
      <c r="I30" s="41">
        <f t="shared" si="6"/>
        <v>2901.91</v>
      </c>
      <c r="J30" s="41">
        <f t="shared" si="6"/>
        <v>2901.91</v>
      </c>
      <c r="K30" s="41">
        <f t="shared" si="6"/>
        <v>2901.91</v>
      </c>
      <c r="L30" s="41">
        <f t="shared" si="6"/>
        <v>2901.91</v>
      </c>
      <c r="M30" s="41">
        <f t="shared" si="6"/>
        <v>2901.91</v>
      </c>
      <c r="N30" s="41">
        <f t="shared" si="6"/>
        <v>2901.91</v>
      </c>
      <c r="O30" s="41">
        <f t="shared" si="6"/>
        <v>2901.91</v>
      </c>
      <c r="P30" s="41">
        <f t="shared" si="6"/>
        <v>2901.91</v>
      </c>
      <c r="Q30" s="41">
        <f t="shared" si="6"/>
        <v>2901.91</v>
      </c>
      <c r="R30" s="41">
        <f t="shared" si="6"/>
        <v>2901.91</v>
      </c>
      <c r="S30" s="41">
        <f t="shared" si="6"/>
        <v>2901.91</v>
      </c>
      <c r="T30" s="41">
        <f t="shared" si="6"/>
        <v>2901.91</v>
      </c>
      <c r="U30" s="41">
        <f t="shared" si="6"/>
        <v>2901.91</v>
      </c>
      <c r="V30" s="41">
        <f t="shared" si="6"/>
        <v>2901.91</v>
      </c>
      <c r="W30" s="41">
        <f t="shared" si="6"/>
        <v>2901.91</v>
      </c>
      <c r="X30" s="41">
        <f t="shared" si="6"/>
        <v>2901.91</v>
      </c>
      <c r="Y30" s="41">
        <f t="shared" si="6"/>
        <v>2901.91</v>
      </c>
      <c r="Z30" s="41">
        <f t="shared" si="6"/>
        <v>2901.91</v>
      </c>
      <c r="AA30" s="41">
        <f t="shared" si="6"/>
        <v>2901.91</v>
      </c>
      <c r="AB30" s="41">
        <f t="shared" si="6"/>
        <v>2901.91</v>
      </c>
      <c r="AC30" s="41">
        <f t="shared" si="6"/>
        <v>2901.91</v>
      </c>
      <c r="AD30" s="41">
        <f t="shared" si="6"/>
        <v>2901.91</v>
      </c>
      <c r="AE30" s="41">
        <f t="shared" si="6"/>
        <v>2901.91</v>
      </c>
      <c r="AF30" s="41">
        <f t="shared" si="6"/>
        <v>2901.91</v>
      </c>
      <c r="AG30" s="41">
        <f t="shared" si="6"/>
        <v>2901.91</v>
      </c>
      <c r="AH30" s="41">
        <f t="shared" si="6"/>
        <v>2901.91</v>
      </c>
      <c r="AI30" s="41">
        <f t="shared" si="6"/>
        <v>2901.91</v>
      </c>
      <c r="AJ30" s="41">
        <f t="shared" si="6"/>
        <v>2901.91</v>
      </c>
      <c r="AK30" s="41">
        <f>SUM(G30:AJ30)</f>
        <v>87057.300000000061</v>
      </c>
      <c r="AL30" s="2"/>
    </row>
    <row r="31" spans="2:38" ht="15" thickBot="1" x14ac:dyDescent="0.35"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2"/>
    </row>
    <row r="32" spans="2:38" x14ac:dyDescent="0.3">
      <c r="B32" s="38"/>
      <c r="C32" s="38"/>
      <c r="D32" s="38"/>
      <c r="E32" s="49"/>
      <c r="F32" s="44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2"/>
    </row>
    <row r="33" spans="2:38" x14ac:dyDescent="0.3">
      <c r="B33" s="38" t="s">
        <v>36</v>
      </c>
      <c r="C33" s="38"/>
      <c r="D33" s="38"/>
      <c r="E33" s="38"/>
      <c r="F33" s="50"/>
      <c r="G33" s="51">
        <v>0</v>
      </c>
      <c r="H33" s="51">
        <f t="shared" ref="H33:AJ33" si="7">+$C$6</f>
        <v>5.0000000000000001E-3</v>
      </c>
      <c r="I33" s="51">
        <f t="shared" si="7"/>
        <v>5.0000000000000001E-3</v>
      </c>
      <c r="J33" s="51">
        <f t="shared" si="7"/>
        <v>5.0000000000000001E-3</v>
      </c>
      <c r="K33" s="51">
        <f t="shared" si="7"/>
        <v>5.0000000000000001E-3</v>
      </c>
      <c r="L33" s="51">
        <f t="shared" si="7"/>
        <v>5.0000000000000001E-3</v>
      </c>
      <c r="M33" s="51">
        <f t="shared" si="7"/>
        <v>5.0000000000000001E-3</v>
      </c>
      <c r="N33" s="51">
        <f t="shared" si="7"/>
        <v>5.0000000000000001E-3</v>
      </c>
      <c r="O33" s="51">
        <f t="shared" si="7"/>
        <v>5.0000000000000001E-3</v>
      </c>
      <c r="P33" s="51">
        <f t="shared" si="7"/>
        <v>5.0000000000000001E-3</v>
      </c>
      <c r="Q33" s="51">
        <f t="shared" si="7"/>
        <v>5.0000000000000001E-3</v>
      </c>
      <c r="R33" s="51">
        <f t="shared" si="7"/>
        <v>5.0000000000000001E-3</v>
      </c>
      <c r="S33" s="51">
        <f t="shared" si="7"/>
        <v>5.0000000000000001E-3</v>
      </c>
      <c r="T33" s="51">
        <f t="shared" si="7"/>
        <v>5.0000000000000001E-3</v>
      </c>
      <c r="U33" s="51">
        <f t="shared" si="7"/>
        <v>5.0000000000000001E-3</v>
      </c>
      <c r="V33" s="51">
        <f t="shared" si="7"/>
        <v>5.0000000000000001E-3</v>
      </c>
      <c r="W33" s="51">
        <f t="shared" si="7"/>
        <v>5.0000000000000001E-3</v>
      </c>
      <c r="X33" s="51">
        <f t="shared" si="7"/>
        <v>5.0000000000000001E-3</v>
      </c>
      <c r="Y33" s="51">
        <f t="shared" si="7"/>
        <v>5.0000000000000001E-3</v>
      </c>
      <c r="Z33" s="51">
        <f t="shared" si="7"/>
        <v>5.0000000000000001E-3</v>
      </c>
      <c r="AA33" s="51">
        <f t="shared" si="7"/>
        <v>5.0000000000000001E-3</v>
      </c>
      <c r="AB33" s="51">
        <f t="shared" si="7"/>
        <v>5.0000000000000001E-3</v>
      </c>
      <c r="AC33" s="51">
        <f t="shared" si="7"/>
        <v>5.0000000000000001E-3</v>
      </c>
      <c r="AD33" s="51">
        <f t="shared" si="7"/>
        <v>5.0000000000000001E-3</v>
      </c>
      <c r="AE33" s="51">
        <f t="shared" si="7"/>
        <v>5.0000000000000001E-3</v>
      </c>
      <c r="AF33" s="51">
        <f t="shared" si="7"/>
        <v>5.0000000000000001E-3</v>
      </c>
      <c r="AG33" s="51">
        <f t="shared" si="7"/>
        <v>5.0000000000000001E-3</v>
      </c>
      <c r="AH33" s="51">
        <f t="shared" si="7"/>
        <v>5.0000000000000001E-3</v>
      </c>
      <c r="AI33" s="51">
        <f t="shared" si="7"/>
        <v>5.0000000000000001E-3</v>
      </c>
      <c r="AJ33" s="51">
        <f t="shared" si="7"/>
        <v>5.0000000000000001E-3</v>
      </c>
      <c r="AK33" s="51"/>
      <c r="AL33" s="2"/>
    </row>
    <row r="34" spans="2:38" x14ac:dyDescent="0.3">
      <c r="B34" s="38" t="s">
        <v>37</v>
      </c>
      <c r="C34" s="38"/>
      <c r="D34" s="38"/>
      <c r="E34" s="21"/>
      <c r="F34" s="38"/>
      <c r="G34" s="46">
        <v>1</v>
      </c>
      <c r="H34" s="46">
        <f t="shared" ref="H34:AJ34" si="8">G34*(1+$C6)</f>
        <v>1.0049999999999999</v>
      </c>
      <c r="I34" s="46">
        <f t="shared" si="8"/>
        <v>1.0100249999999997</v>
      </c>
      <c r="J34" s="46">
        <f t="shared" si="8"/>
        <v>1.0150751249999996</v>
      </c>
      <c r="K34" s="46">
        <f t="shared" si="8"/>
        <v>1.0201505006249996</v>
      </c>
      <c r="L34" s="46">
        <f t="shared" si="8"/>
        <v>1.0252512531281244</v>
      </c>
      <c r="M34" s="46">
        <f t="shared" si="8"/>
        <v>1.0303775093937648</v>
      </c>
      <c r="N34" s="46">
        <f t="shared" si="8"/>
        <v>1.0355293969407335</v>
      </c>
      <c r="O34" s="46">
        <f t="shared" si="8"/>
        <v>1.0407070439254371</v>
      </c>
      <c r="P34" s="46">
        <f t="shared" si="8"/>
        <v>1.0459105791450642</v>
      </c>
      <c r="Q34" s="46">
        <f t="shared" si="8"/>
        <v>1.0511401320407894</v>
      </c>
      <c r="R34" s="46">
        <f t="shared" si="8"/>
        <v>1.0563958327009932</v>
      </c>
      <c r="S34" s="46">
        <f t="shared" si="8"/>
        <v>1.0616778118644981</v>
      </c>
      <c r="T34" s="46">
        <f t="shared" si="8"/>
        <v>1.0669862009238205</v>
      </c>
      <c r="U34" s="46">
        <f t="shared" si="8"/>
        <v>1.0723211319284394</v>
      </c>
      <c r="V34" s="46">
        <f t="shared" si="8"/>
        <v>1.0776827375880815</v>
      </c>
      <c r="W34" s="46">
        <f t="shared" si="8"/>
        <v>1.0830711512760218</v>
      </c>
      <c r="X34" s="46">
        <f t="shared" si="8"/>
        <v>1.0884865070324019</v>
      </c>
      <c r="Y34" s="46">
        <f t="shared" si="8"/>
        <v>1.0939289395675638</v>
      </c>
      <c r="Z34" s="46">
        <f t="shared" si="8"/>
        <v>1.0993985842654015</v>
      </c>
      <c r="AA34" s="46">
        <f t="shared" si="8"/>
        <v>1.1048955771867284</v>
      </c>
      <c r="AB34" s="46">
        <f t="shared" si="8"/>
        <v>1.1104200550726619</v>
      </c>
      <c r="AC34" s="46">
        <f t="shared" si="8"/>
        <v>1.1159721553480251</v>
      </c>
      <c r="AD34" s="46">
        <f t="shared" si="8"/>
        <v>1.1215520161247652</v>
      </c>
      <c r="AE34" s="46">
        <f t="shared" si="8"/>
        <v>1.1271597762053889</v>
      </c>
      <c r="AF34" s="46">
        <f t="shared" si="8"/>
        <v>1.1327955750864156</v>
      </c>
      <c r="AG34" s="46">
        <f t="shared" si="8"/>
        <v>1.1384595529618475</v>
      </c>
      <c r="AH34" s="46">
        <f t="shared" si="8"/>
        <v>1.1441518507266566</v>
      </c>
      <c r="AI34" s="46">
        <f t="shared" si="8"/>
        <v>1.1498726099802898</v>
      </c>
      <c r="AJ34" s="46">
        <f t="shared" si="8"/>
        <v>1.1556219730301911</v>
      </c>
      <c r="AK34" s="46"/>
      <c r="AL34" s="2"/>
    </row>
    <row r="35" spans="2:38" ht="15.6" x14ac:dyDescent="0.3">
      <c r="B35" s="34" t="s">
        <v>38</v>
      </c>
      <c r="C35" s="35"/>
      <c r="D35" s="35"/>
      <c r="E35" s="35"/>
      <c r="F35" s="36" t="s">
        <v>6</v>
      </c>
      <c r="G35" s="52">
        <f>G30</f>
        <v>2901.91</v>
      </c>
      <c r="H35" s="52">
        <f t="shared" ref="H35:AJ35" si="9">H30</f>
        <v>2901.91</v>
      </c>
      <c r="I35" s="52">
        <f t="shared" si="9"/>
        <v>2901.91</v>
      </c>
      <c r="J35" s="52">
        <f t="shared" si="9"/>
        <v>2901.91</v>
      </c>
      <c r="K35" s="52">
        <f t="shared" si="9"/>
        <v>2901.91</v>
      </c>
      <c r="L35" s="52">
        <f t="shared" si="9"/>
        <v>2901.91</v>
      </c>
      <c r="M35" s="52">
        <f t="shared" si="9"/>
        <v>2901.91</v>
      </c>
      <c r="N35" s="52">
        <f t="shared" si="9"/>
        <v>2901.91</v>
      </c>
      <c r="O35" s="52">
        <f t="shared" si="9"/>
        <v>2901.91</v>
      </c>
      <c r="P35" s="52">
        <f t="shared" si="9"/>
        <v>2901.91</v>
      </c>
      <c r="Q35" s="52">
        <f t="shared" si="9"/>
        <v>2901.91</v>
      </c>
      <c r="R35" s="52">
        <f t="shared" si="9"/>
        <v>2901.91</v>
      </c>
      <c r="S35" s="52">
        <f t="shared" si="9"/>
        <v>2901.91</v>
      </c>
      <c r="T35" s="52">
        <f t="shared" si="9"/>
        <v>2901.91</v>
      </c>
      <c r="U35" s="52">
        <f t="shared" si="9"/>
        <v>2901.91</v>
      </c>
      <c r="V35" s="52">
        <f t="shared" si="9"/>
        <v>2901.91</v>
      </c>
      <c r="W35" s="52">
        <f t="shared" si="9"/>
        <v>2901.91</v>
      </c>
      <c r="X35" s="52">
        <f t="shared" si="9"/>
        <v>2901.91</v>
      </c>
      <c r="Y35" s="52">
        <f t="shared" si="9"/>
        <v>2901.91</v>
      </c>
      <c r="Z35" s="52">
        <f t="shared" si="9"/>
        <v>2901.91</v>
      </c>
      <c r="AA35" s="52">
        <f t="shared" si="9"/>
        <v>2901.91</v>
      </c>
      <c r="AB35" s="52">
        <f t="shared" si="9"/>
        <v>2901.91</v>
      </c>
      <c r="AC35" s="52">
        <f t="shared" si="9"/>
        <v>2901.91</v>
      </c>
      <c r="AD35" s="52">
        <f t="shared" si="9"/>
        <v>2901.91</v>
      </c>
      <c r="AE35" s="52">
        <f t="shared" si="9"/>
        <v>2901.91</v>
      </c>
      <c r="AF35" s="52">
        <f t="shared" si="9"/>
        <v>2901.91</v>
      </c>
      <c r="AG35" s="52">
        <f t="shared" si="9"/>
        <v>2901.91</v>
      </c>
      <c r="AH35" s="52">
        <f t="shared" si="9"/>
        <v>2901.91</v>
      </c>
      <c r="AI35" s="52">
        <f t="shared" si="9"/>
        <v>2901.91</v>
      </c>
      <c r="AJ35" s="52">
        <f t="shared" si="9"/>
        <v>2901.91</v>
      </c>
      <c r="AK35" s="52">
        <f>SUM(G35:AJ35)</f>
        <v>87057.300000000061</v>
      </c>
      <c r="AL35" s="37"/>
    </row>
    <row r="36" spans="2:38" x14ac:dyDescent="0.3">
      <c r="B36" s="38" t="s">
        <v>39</v>
      </c>
      <c r="C36" s="21"/>
      <c r="D36" s="53">
        <f>I12*G26</f>
        <v>855.6</v>
      </c>
      <c r="E36" s="54"/>
      <c r="F36" s="44" t="s">
        <v>6</v>
      </c>
      <c r="G36" s="41">
        <f t="shared" ref="G36:AJ36" si="10">$D$36*G34</f>
        <v>855.6</v>
      </c>
      <c r="H36" s="41">
        <f t="shared" si="10"/>
        <v>859.87799999999993</v>
      </c>
      <c r="I36" s="41">
        <f t="shared" si="10"/>
        <v>864.17738999999983</v>
      </c>
      <c r="J36" s="41">
        <f t="shared" si="10"/>
        <v>868.49827694999976</v>
      </c>
      <c r="K36" s="41">
        <f t="shared" si="10"/>
        <v>872.84076833474967</v>
      </c>
      <c r="L36" s="41">
        <f t="shared" si="10"/>
        <v>877.20497217642321</v>
      </c>
      <c r="M36" s="41">
        <f t="shared" si="10"/>
        <v>881.59099703730521</v>
      </c>
      <c r="N36" s="41">
        <f t="shared" si="10"/>
        <v>885.99895202249161</v>
      </c>
      <c r="O36" s="41">
        <f t="shared" si="10"/>
        <v>890.42894678260404</v>
      </c>
      <c r="P36" s="41">
        <f t="shared" si="10"/>
        <v>894.88109151651702</v>
      </c>
      <c r="Q36" s="41">
        <f t="shared" si="10"/>
        <v>899.35549697409942</v>
      </c>
      <c r="R36" s="41">
        <f t="shared" si="10"/>
        <v>903.85227445896987</v>
      </c>
      <c r="S36" s="41">
        <f t="shared" si="10"/>
        <v>908.37153583126451</v>
      </c>
      <c r="T36" s="41">
        <f t="shared" si="10"/>
        <v>912.91339351042086</v>
      </c>
      <c r="U36" s="41">
        <f t="shared" si="10"/>
        <v>917.47796047797272</v>
      </c>
      <c r="V36" s="41">
        <f t="shared" si="10"/>
        <v>922.06535028036262</v>
      </c>
      <c r="W36" s="41">
        <f t="shared" si="10"/>
        <v>926.67567703176428</v>
      </c>
      <c r="X36" s="41">
        <f t="shared" si="10"/>
        <v>931.30905541692312</v>
      </c>
      <c r="Y36" s="41">
        <f t="shared" si="10"/>
        <v>935.96560069400755</v>
      </c>
      <c r="Z36" s="41">
        <f t="shared" si="10"/>
        <v>940.64542869747754</v>
      </c>
      <c r="AA36" s="41">
        <f t="shared" si="10"/>
        <v>945.34865584096485</v>
      </c>
      <c r="AB36" s="41">
        <f t="shared" si="10"/>
        <v>950.07539912016955</v>
      </c>
      <c r="AC36" s="41">
        <f t="shared" si="10"/>
        <v>954.82577611577028</v>
      </c>
      <c r="AD36" s="41">
        <f t="shared" si="10"/>
        <v>959.5999049963491</v>
      </c>
      <c r="AE36" s="41">
        <f t="shared" si="10"/>
        <v>964.3979045213307</v>
      </c>
      <c r="AF36" s="41">
        <f t="shared" si="10"/>
        <v>969.21989404393719</v>
      </c>
      <c r="AG36" s="41">
        <f t="shared" si="10"/>
        <v>974.06599351415673</v>
      </c>
      <c r="AH36" s="41">
        <f t="shared" si="10"/>
        <v>978.93632348172741</v>
      </c>
      <c r="AI36" s="41">
        <f t="shared" si="10"/>
        <v>983.83100509913606</v>
      </c>
      <c r="AJ36" s="41">
        <f t="shared" si="10"/>
        <v>988.75016012463152</v>
      </c>
      <c r="AK36" s="41">
        <f>SUM(G36:AJ36)</f>
        <v>27618.782185051525</v>
      </c>
      <c r="AL36" s="2"/>
    </row>
    <row r="37" spans="2:38" x14ac:dyDescent="0.3">
      <c r="B37" s="38" t="s">
        <v>40</v>
      </c>
      <c r="C37" s="21"/>
      <c r="D37" s="53">
        <f>D36/2</f>
        <v>427.8</v>
      </c>
      <c r="E37" s="55"/>
      <c r="F37" s="44" t="s">
        <v>6</v>
      </c>
      <c r="G37" s="41">
        <f t="shared" ref="G37:AJ37" si="11">$D$37*G34</f>
        <v>427.8</v>
      </c>
      <c r="H37" s="41">
        <f t="shared" si="11"/>
        <v>429.93899999999996</v>
      </c>
      <c r="I37" s="41">
        <f t="shared" si="11"/>
        <v>432.08869499999992</v>
      </c>
      <c r="J37" s="41">
        <f t="shared" si="11"/>
        <v>434.24913847499988</v>
      </c>
      <c r="K37" s="41">
        <f t="shared" si="11"/>
        <v>436.42038416737483</v>
      </c>
      <c r="L37" s="41">
        <f t="shared" si="11"/>
        <v>438.60248608821161</v>
      </c>
      <c r="M37" s="41">
        <f t="shared" si="11"/>
        <v>440.79549851865261</v>
      </c>
      <c r="N37" s="41">
        <f t="shared" si="11"/>
        <v>442.9994760112458</v>
      </c>
      <c r="O37" s="41">
        <f t="shared" si="11"/>
        <v>445.21447339130202</v>
      </c>
      <c r="P37" s="41">
        <f t="shared" si="11"/>
        <v>447.44054575825851</v>
      </c>
      <c r="Q37" s="41">
        <f t="shared" si="11"/>
        <v>449.67774848704971</v>
      </c>
      <c r="R37" s="41">
        <f t="shared" si="11"/>
        <v>451.92613722948494</v>
      </c>
      <c r="S37" s="41">
        <f t="shared" si="11"/>
        <v>454.18576791563225</v>
      </c>
      <c r="T37" s="41">
        <f t="shared" si="11"/>
        <v>456.45669675521043</v>
      </c>
      <c r="U37" s="41">
        <f t="shared" si="11"/>
        <v>458.73898023898636</v>
      </c>
      <c r="V37" s="41">
        <f t="shared" si="11"/>
        <v>461.03267514018131</v>
      </c>
      <c r="W37" s="41">
        <f t="shared" si="11"/>
        <v>463.33783851588214</v>
      </c>
      <c r="X37" s="41">
        <f t="shared" si="11"/>
        <v>465.65452770846156</v>
      </c>
      <c r="Y37" s="41">
        <f t="shared" si="11"/>
        <v>467.98280034700377</v>
      </c>
      <c r="Z37" s="41">
        <f t="shared" si="11"/>
        <v>470.32271434873877</v>
      </c>
      <c r="AA37" s="41">
        <f t="shared" si="11"/>
        <v>472.67432792048243</v>
      </c>
      <c r="AB37" s="41">
        <f t="shared" si="11"/>
        <v>475.03769956008477</v>
      </c>
      <c r="AC37" s="41">
        <f t="shared" si="11"/>
        <v>477.41288805788514</v>
      </c>
      <c r="AD37" s="41">
        <f t="shared" si="11"/>
        <v>479.79995249817455</v>
      </c>
      <c r="AE37" s="41">
        <f t="shared" si="11"/>
        <v>482.19895226066535</v>
      </c>
      <c r="AF37" s="41">
        <f t="shared" si="11"/>
        <v>484.60994702196859</v>
      </c>
      <c r="AG37" s="41">
        <f t="shared" si="11"/>
        <v>487.03299675707837</v>
      </c>
      <c r="AH37" s="41">
        <f t="shared" si="11"/>
        <v>489.46816174086371</v>
      </c>
      <c r="AI37" s="41">
        <f t="shared" si="11"/>
        <v>491.91550254956803</v>
      </c>
      <c r="AJ37" s="41">
        <f t="shared" si="11"/>
        <v>494.37508006231576</v>
      </c>
      <c r="AK37" s="41">
        <f>SUM(G37:AJ37)</f>
        <v>13809.391092525762</v>
      </c>
      <c r="AL37" s="2"/>
    </row>
    <row r="38" spans="2:38" x14ac:dyDescent="0.3">
      <c r="B38" s="38" t="s">
        <v>41</v>
      </c>
      <c r="C38" s="21"/>
      <c r="D38" s="53">
        <f>D36/2</f>
        <v>427.8</v>
      </c>
      <c r="E38" s="55"/>
      <c r="F38" s="44" t="s">
        <v>6</v>
      </c>
      <c r="G38" s="41">
        <f t="shared" ref="G38:AJ38" si="12">$D$38*G34</f>
        <v>427.8</v>
      </c>
      <c r="H38" s="41">
        <f t="shared" si="12"/>
        <v>429.93899999999996</v>
      </c>
      <c r="I38" s="41">
        <f t="shared" si="12"/>
        <v>432.08869499999992</v>
      </c>
      <c r="J38" s="41">
        <f t="shared" si="12"/>
        <v>434.24913847499988</v>
      </c>
      <c r="K38" s="41">
        <f t="shared" si="12"/>
        <v>436.42038416737483</v>
      </c>
      <c r="L38" s="41">
        <f t="shared" si="12"/>
        <v>438.60248608821161</v>
      </c>
      <c r="M38" s="41">
        <f t="shared" si="12"/>
        <v>440.79549851865261</v>
      </c>
      <c r="N38" s="41">
        <f t="shared" si="12"/>
        <v>442.9994760112458</v>
      </c>
      <c r="O38" s="41">
        <f t="shared" si="12"/>
        <v>445.21447339130202</v>
      </c>
      <c r="P38" s="41">
        <f t="shared" si="12"/>
        <v>447.44054575825851</v>
      </c>
      <c r="Q38" s="41">
        <f t="shared" si="12"/>
        <v>449.67774848704971</v>
      </c>
      <c r="R38" s="41">
        <f t="shared" si="12"/>
        <v>451.92613722948494</v>
      </c>
      <c r="S38" s="41">
        <f t="shared" si="12"/>
        <v>454.18576791563225</v>
      </c>
      <c r="T38" s="41">
        <f t="shared" si="12"/>
        <v>456.45669675521043</v>
      </c>
      <c r="U38" s="41">
        <f t="shared" si="12"/>
        <v>458.73898023898636</v>
      </c>
      <c r="V38" s="41">
        <f t="shared" si="12"/>
        <v>461.03267514018131</v>
      </c>
      <c r="W38" s="41">
        <f t="shared" si="12"/>
        <v>463.33783851588214</v>
      </c>
      <c r="X38" s="41">
        <f t="shared" si="12"/>
        <v>465.65452770846156</v>
      </c>
      <c r="Y38" s="41">
        <f t="shared" si="12"/>
        <v>467.98280034700377</v>
      </c>
      <c r="Z38" s="41">
        <f t="shared" si="12"/>
        <v>470.32271434873877</v>
      </c>
      <c r="AA38" s="41">
        <f t="shared" si="12"/>
        <v>472.67432792048243</v>
      </c>
      <c r="AB38" s="41">
        <f t="shared" si="12"/>
        <v>475.03769956008477</v>
      </c>
      <c r="AC38" s="41">
        <f t="shared" si="12"/>
        <v>477.41288805788514</v>
      </c>
      <c r="AD38" s="41">
        <f t="shared" si="12"/>
        <v>479.79995249817455</v>
      </c>
      <c r="AE38" s="41">
        <f t="shared" si="12"/>
        <v>482.19895226066535</v>
      </c>
      <c r="AF38" s="41">
        <f t="shared" si="12"/>
        <v>484.60994702196859</v>
      </c>
      <c r="AG38" s="41">
        <f t="shared" si="12"/>
        <v>487.03299675707837</v>
      </c>
      <c r="AH38" s="41">
        <f t="shared" si="12"/>
        <v>489.46816174086371</v>
      </c>
      <c r="AI38" s="41">
        <f t="shared" si="12"/>
        <v>491.91550254956803</v>
      </c>
      <c r="AJ38" s="41">
        <f t="shared" si="12"/>
        <v>494.37508006231576</v>
      </c>
      <c r="AK38" s="41">
        <f>SUM(G38:AJ38)</f>
        <v>13809.391092525762</v>
      </c>
      <c r="AL38" s="2"/>
    </row>
    <row r="39" spans="2:38" x14ac:dyDescent="0.3">
      <c r="B39" s="38"/>
      <c r="C39" s="21"/>
      <c r="D39" s="53"/>
      <c r="E39" s="56"/>
      <c r="F39" s="44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2"/>
    </row>
    <row r="40" spans="2:38" ht="15.6" x14ac:dyDescent="0.3">
      <c r="B40" s="34" t="s">
        <v>42</v>
      </c>
      <c r="C40" s="35"/>
      <c r="D40" s="35"/>
      <c r="E40" s="35"/>
      <c r="F40" s="36" t="s">
        <v>6</v>
      </c>
      <c r="G40" s="52">
        <f t="shared" ref="G40:AJ40" si="13">SUM(G36:G39)</f>
        <v>1711.2</v>
      </c>
      <c r="H40" s="52">
        <f t="shared" si="13"/>
        <v>1719.7559999999999</v>
      </c>
      <c r="I40" s="52">
        <f t="shared" si="13"/>
        <v>1728.3547799999997</v>
      </c>
      <c r="J40" s="52">
        <f t="shared" si="13"/>
        <v>1736.9965538999995</v>
      </c>
      <c r="K40" s="52">
        <f t="shared" si="13"/>
        <v>1745.6815366694993</v>
      </c>
      <c r="L40" s="52">
        <f t="shared" si="13"/>
        <v>1754.4099443528464</v>
      </c>
      <c r="M40" s="52">
        <f t="shared" si="13"/>
        <v>1763.1819940746104</v>
      </c>
      <c r="N40" s="52">
        <f t="shared" si="13"/>
        <v>1771.9979040449832</v>
      </c>
      <c r="O40" s="52">
        <f t="shared" si="13"/>
        <v>1780.8578935652081</v>
      </c>
      <c r="P40" s="52">
        <f t="shared" si="13"/>
        <v>1789.762183033034</v>
      </c>
      <c r="Q40" s="52">
        <f t="shared" si="13"/>
        <v>1798.7109939481988</v>
      </c>
      <c r="R40" s="52">
        <f t="shared" si="13"/>
        <v>1807.7045489179397</v>
      </c>
      <c r="S40" s="52">
        <f t="shared" si="13"/>
        <v>1816.743071662529</v>
      </c>
      <c r="T40" s="52">
        <f t="shared" si="13"/>
        <v>1825.8267870208417</v>
      </c>
      <c r="U40" s="52">
        <f t="shared" si="13"/>
        <v>1834.9559209559454</v>
      </c>
      <c r="V40" s="52">
        <f t="shared" si="13"/>
        <v>1844.1307005607252</v>
      </c>
      <c r="W40" s="52">
        <f t="shared" si="13"/>
        <v>1853.3513540635286</v>
      </c>
      <c r="X40" s="52">
        <f t="shared" si="13"/>
        <v>1862.6181108338462</v>
      </c>
      <c r="Y40" s="52">
        <f t="shared" si="13"/>
        <v>1871.9312013880151</v>
      </c>
      <c r="Z40" s="52">
        <f t="shared" si="13"/>
        <v>1881.2908573949551</v>
      </c>
      <c r="AA40" s="52">
        <f t="shared" si="13"/>
        <v>1890.6973116819297</v>
      </c>
      <c r="AB40" s="52">
        <f t="shared" si="13"/>
        <v>1900.1507982403391</v>
      </c>
      <c r="AC40" s="52">
        <f t="shared" si="13"/>
        <v>1909.6515522315406</v>
      </c>
      <c r="AD40" s="52">
        <f t="shared" si="13"/>
        <v>1919.1998099926982</v>
      </c>
      <c r="AE40" s="52">
        <f t="shared" si="13"/>
        <v>1928.7958090426614</v>
      </c>
      <c r="AF40" s="52">
        <f t="shared" si="13"/>
        <v>1938.4397880878744</v>
      </c>
      <c r="AG40" s="52">
        <f t="shared" si="13"/>
        <v>1948.1319870283135</v>
      </c>
      <c r="AH40" s="52">
        <f t="shared" si="13"/>
        <v>1957.8726469634548</v>
      </c>
      <c r="AI40" s="52">
        <f t="shared" si="13"/>
        <v>1967.6620101982721</v>
      </c>
      <c r="AJ40" s="52">
        <f t="shared" si="13"/>
        <v>1977.500320249263</v>
      </c>
      <c r="AK40" s="52">
        <f>SUM(G40:AJ40)</f>
        <v>55237.564370103049</v>
      </c>
      <c r="AL40" s="37"/>
    </row>
    <row r="41" spans="2:38" x14ac:dyDescent="0.3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2:38" ht="15.6" x14ac:dyDescent="0.3">
      <c r="B42" s="34" t="s">
        <v>43</v>
      </c>
      <c r="C42" s="35"/>
      <c r="D42" s="35"/>
      <c r="E42" s="35"/>
      <c r="F42" s="36" t="s">
        <v>6</v>
      </c>
      <c r="G42" s="52">
        <f t="shared" ref="G42:AJ42" si="14">G35-G40</f>
        <v>1190.7099999999998</v>
      </c>
      <c r="H42" s="52">
        <f t="shared" si="14"/>
        <v>1182.154</v>
      </c>
      <c r="I42" s="52">
        <f t="shared" si="14"/>
        <v>1173.5552200000002</v>
      </c>
      <c r="J42" s="52">
        <f t="shared" si="14"/>
        <v>1164.9134461000003</v>
      </c>
      <c r="K42" s="52">
        <f t="shared" si="14"/>
        <v>1156.2284633305005</v>
      </c>
      <c r="L42" s="52">
        <f t="shared" si="14"/>
        <v>1147.5000556471534</v>
      </c>
      <c r="M42" s="52">
        <f t="shared" si="14"/>
        <v>1138.7280059253894</v>
      </c>
      <c r="N42" s="52">
        <f t="shared" si="14"/>
        <v>1129.9120959550166</v>
      </c>
      <c r="O42" s="52">
        <f t="shared" si="14"/>
        <v>1121.0521064347918</v>
      </c>
      <c r="P42" s="52">
        <f t="shared" si="14"/>
        <v>1112.1478169669658</v>
      </c>
      <c r="Q42" s="52">
        <f t="shared" si="14"/>
        <v>1103.199006051801</v>
      </c>
      <c r="R42" s="52">
        <f t="shared" si="14"/>
        <v>1094.2054510820601</v>
      </c>
      <c r="S42" s="52">
        <f t="shared" si="14"/>
        <v>1085.1669283374708</v>
      </c>
      <c r="T42" s="52">
        <f t="shared" si="14"/>
        <v>1076.0832129791581</v>
      </c>
      <c r="U42" s="52">
        <f t="shared" si="14"/>
        <v>1066.9540790440544</v>
      </c>
      <c r="V42" s="52">
        <f t="shared" si="14"/>
        <v>1057.7792994392746</v>
      </c>
      <c r="W42" s="52">
        <f t="shared" si="14"/>
        <v>1048.5586459364713</v>
      </c>
      <c r="X42" s="52">
        <f t="shared" si="14"/>
        <v>1039.2918891661536</v>
      </c>
      <c r="Y42" s="52">
        <f t="shared" si="14"/>
        <v>1029.9787986119848</v>
      </c>
      <c r="Z42" s="52">
        <f t="shared" si="14"/>
        <v>1020.6191426050448</v>
      </c>
      <c r="AA42" s="52">
        <f t="shared" si="14"/>
        <v>1011.2126883180701</v>
      </c>
      <c r="AB42" s="52">
        <f t="shared" si="14"/>
        <v>1001.7592017596608</v>
      </c>
      <c r="AC42" s="52">
        <f t="shared" si="14"/>
        <v>992.25844776845929</v>
      </c>
      <c r="AD42" s="52">
        <f t="shared" si="14"/>
        <v>982.71019000730166</v>
      </c>
      <c r="AE42" s="52">
        <f t="shared" si="14"/>
        <v>973.11419095733845</v>
      </c>
      <c r="AF42" s="52">
        <f t="shared" si="14"/>
        <v>963.47021191212548</v>
      </c>
      <c r="AG42" s="52">
        <f t="shared" si="14"/>
        <v>953.77801297168639</v>
      </c>
      <c r="AH42" s="52">
        <f t="shared" si="14"/>
        <v>944.03735303654503</v>
      </c>
      <c r="AI42" s="52">
        <f t="shared" si="14"/>
        <v>934.24798980172773</v>
      </c>
      <c r="AJ42" s="52">
        <f t="shared" si="14"/>
        <v>924.40967975073681</v>
      </c>
      <c r="AK42" s="52">
        <f>SUM(G42:AJ42)</f>
        <v>31819.735629896939</v>
      </c>
      <c r="AL42" s="37"/>
    </row>
    <row r="43" spans="2:38" x14ac:dyDescent="0.3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2:38" x14ac:dyDescent="0.3">
      <c r="B44" s="38" t="s">
        <v>44</v>
      </c>
      <c r="C44" s="38"/>
      <c r="D44" s="38"/>
      <c r="E44" s="38"/>
      <c r="F44" s="44" t="s">
        <v>6</v>
      </c>
      <c r="G44" s="41">
        <f t="shared" ref="G44:AJ44" si="15">IF(G23=$E$15,$I$3/12*11,$I$3)</f>
        <v>0</v>
      </c>
      <c r="H44" s="41">
        <f t="shared" si="15"/>
        <v>0</v>
      </c>
      <c r="I44" s="41">
        <f t="shared" si="15"/>
        <v>0</v>
      </c>
      <c r="J44" s="41">
        <f t="shared" si="15"/>
        <v>0</v>
      </c>
      <c r="K44" s="41">
        <f t="shared" si="15"/>
        <v>0</v>
      </c>
      <c r="L44" s="41">
        <f t="shared" si="15"/>
        <v>0</v>
      </c>
      <c r="M44" s="41">
        <f t="shared" si="15"/>
        <v>0</v>
      </c>
      <c r="N44" s="41">
        <f t="shared" si="15"/>
        <v>0</v>
      </c>
      <c r="O44" s="41">
        <f t="shared" si="15"/>
        <v>0</v>
      </c>
      <c r="P44" s="41">
        <f t="shared" si="15"/>
        <v>0</v>
      </c>
      <c r="Q44" s="41">
        <f t="shared" si="15"/>
        <v>0</v>
      </c>
      <c r="R44" s="41">
        <f t="shared" si="15"/>
        <v>0</v>
      </c>
      <c r="S44" s="41">
        <f t="shared" si="15"/>
        <v>0</v>
      </c>
      <c r="T44" s="41">
        <f t="shared" si="15"/>
        <v>0</v>
      </c>
      <c r="U44" s="41">
        <f t="shared" si="15"/>
        <v>0</v>
      </c>
      <c r="V44" s="41">
        <f t="shared" si="15"/>
        <v>0</v>
      </c>
      <c r="W44" s="41">
        <f t="shared" si="15"/>
        <v>0</v>
      </c>
      <c r="X44" s="41">
        <f t="shared" si="15"/>
        <v>0</v>
      </c>
      <c r="Y44" s="41">
        <f t="shared" si="15"/>
        <v>0</v>
      </c>
      <c r="Z44" s="41">
        <f t="shared" si="15"/>
        <v>0</v>
      </c>
      <c r="AA44" s="41">
        <f t="shared" si="15"/>
        <v>0</v>
      </c>
      <c r="AB44" s="41">
        <f t="shared" si="15"/>
        <v>0</v>
      </c>
      <c r="AC44" s="41">
        <f t="shared" si="15"/>
        <v>0</v>
      </c>
      <c r="AD44" s="41">
        <f t="shared" si="15"/>
        <v>0</v>
      </c>
      <c r="AE44" s="41">
        <f t="shared" si="15"/>
        <v>0</v>
      </c>
      <c r="AF44" s="41">
        <f t="shared" si="15"/>
        <v>0</v>
      </c>
      <c r="AG44" s="41">
        <f t="shared" si="15"/>
        <v>0</v>
      </c>
      <c r="AH44" s="41">
        <f t="shared" si="15"/>
        <v>0</v>
      </c>
      <c r="AI44" s="41">
        <f t="shared" si="15"/>
        <v>0</v>
      </c>
      <c r="AJ44" s="41">
        <f t="shared" si="15"/>
        <v>0</v>
      </c>
      <c r="AK44" s="41">
        <v>0</v>
      </c>
      <c r="AL44" s="2"/>
    </row>
    <row r="45" spans="2:38" x14ac:dyDescent="0.3">
      <c r="B45" s="38" t="s">
        <v>45</v>
      </c>
      <c r="C45" s="38"/>
      <c r="D45" s="38"/>
      <c r="E45" s="38"/>
      <c r="F45" s="44" t="s">
        <v>6</v>
      </c>
      <c r="G45" s="41">
        <f>-$C$10/$E$10</f>
        <v>-5866.666666666667</v>
      </c>
      <c r="H45" s="41">
        <f t="shared" ref="H45:AJ45" si="16">-$C$10/$E$10</f>
        <v>-5866.666666666667</v>
      </c>
      <c r="I45" s="41">
        <f t="shared" si="16"/>
        <v>-5866.666666666667</v>
      </c>
      <c r="J45" s="41">
        <f t="shared" si="16"/>
        <v>-5866.666666666667</v>
      </c>
      <c r="K45" s="41">
        <f t="shared" si="16"/>
        <v>-5866.666666666667</v>
      </c>
      <c r="L45" s="41">
        <f t="shared" si="16"/>
        <v>-5866.666666666667</v>
      </c>
      <c r="M45" s="41">
        <f t="shared" si="16"/>
        <v>-5866.666666666667</v>
      </c>
      <c r="N45" s="41">
        <f t="shared" si="16"/>
        <v>-5866.666666666667</v>
      </c>
      <c r="O45" s="41">
        <f t="shared" si="16"/>
        <v>-5866.666666666667</v>
      </c>
      <c r="P45" s="41">
        <f t="shared" si="16"/>
        <v>-5866.666666666667</v>
      </c>
      <c r="Q45" s="41">
        <f t="shared" si="16"/>
        <v>-5866.666666666667</v>
      </c>
      <c r="R45" s="41">
        <f t="shared" si="16"/>
        <v>-5866.666666666667</v>
      </c>
      <c r="S45" s="41">
        <f t="shared" si="16"/>
        <v>-5866.666666666667</v>
      </c>
      <c r="T45" s="41">
        <f t="shared" si="16"/>
        <v>-5866.666666666667</v>
      </c>
      <c r="U45" s="41">
        <f t="shared" si="16"/>
        <v>-5866.666666666667</v>
      </c>
      <c r="V45" s="41">
        <f t="shared" si="16"/>
        <v>-5866.666666666667</v>
      </c>
      <c r="W45" s="41">
        <f t="shared" si="16"/>
        <v>-5866.666666666667</v>
      </c>
      <c r="X45" s="41">
        <f t="shared" si="16"/>
        <v>-5866.666666666667</v>
      </c>
      <c r="Y45" s="41">
        <f t="shared" si="16"/>
        <v>-5866.666666666667</v>
      </c>
      <c r="Z45" s="41">
        <f t="shared" si="16"/>
        <v>-5866.666666666667</v>
      </c>
      <c r="AA45" s="41">
        <f t="shared" si="16"/>
        <v>-5866.666666666667</v>
      </c>
      <c r="AB45" s="41">
        <f t="shared" si="16"/>
        <v>-5866.666666666667</v>
      </c>
      <c r="AC45" s="41">
        <f t="shared" si="16"/>
        <v>-5866.666666666667</v>
      </c>
      <c r="AD45" s="41">
        <f t="shared" si="16"/>
        <v>-5866.666666666667</v>
      </c>
      <c r="AE45" s="41">
        <f t="shared" si="16"/>
        <v>-5866.666666666667</v>
      </c>
      <c r="AF45" s="41">
        <f t="shared" si="16"/>
        <v>-5866.666666666667</v>
      </c>
      <c r="AG45" s="41">
        <f t="shared" si="16"/>
        <v>-5866.666666666667</v>
      </c>
      <c r="AH45" s="41">
        <f t="shared" si="16"/>
        <v>-5866.666666666667</v>
      </c>
      <c r="AI45" s="41">
        <f t="shared" si="16"/>
        <v>-5866.666666666667</v>
      </c>
      <c r="AJ45" s="41">
        <f t="shared" si="16"/>
        <v>-5866.666666666667</v>
      </c>
      <c r="AK45" s="41">
        <v>0</v>
      </c>
      <c r="AL45" s="2"/>
    </row>
    <row r="46" spans="2:38" x14ac:dyDescent="0.3">
      <c r="B46" s="38"/>
      <c r="C46" s="38"/>
      <c r="D46" s="38"/>
      <c r="E46" s="38"/>
      <c r="F46" s="44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2"/>
    </row>
    <row r="47" spans="2:38" x14ac:dyDescent="0.3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2:38" ht="15.6" x14ac:dyDescent="0.3">
      <c r="B48" s="34" t="s">
        <v>46</v>
      </c>
      <c r="C48" s="35"/>
      <c r="D48" s="35"/>
      <c r="E48" s="35"/>
      <c r="F48" s="36" t="s">
        <v>6</v>
      </c>
      <c r="G48" s="57">
        <f t="shared" ref="G48:AJ48" si="17">G42+G44+G45+G46</f>
        <v>-4675.9566666666669</v>
      </c>
      <c r="H48" s="57">
        <f t="shared" si="17"/>
        <v>-4684.5126666666674</v>
      </c>
      <c r="I48" s="57">
        <f t="shared" si="17"/>
        <v>-4693.1114466666668</v>
      </c>
      <c r="J48" s="57">
        <f t="shared" si="17"/>
        <v>-4701.7532205666666</v>
      </c>
      <c r="K48" s="57">
        <f t="shared" si="17"/>
        <v>-4710.4382033361662</v>
      </c>
      <c r="L48" s="57">
        <f t="shared" si="17"/>
        <v>-4719.1666110195138</v>
      </c>
      <c r="M48" s="57">
        <f t="shared" si="17"/>
        <v>-4727.938660741278</v>
      </c>
      <c r="N48" s="57">
        <f t="shared" si="17"/>
        <v>-4736.7545707116506</v>
      </c>
      <c r="O48" s="57">
        <f t="shared" si="17"/>
        <v>-4745.6145602318757</v>
      </c>
      <c r="P48" s="57">
        <f t="shared" si="17"/>
        <v>-4754.5188496997016</v>
      </c>
      <c r="Q48" s="57">
        <f t="shared" si="17"/>
        <v>-4763.467660614866</v>
      </c>
      <c r="R48" s="57">
        <f t="shared" si="17"/>
        <v>-4772.4612155846071</v>
      </c>
      <c r="S48" s="57">
        <f t="shared" si="17"/>
        <v>-4781.4997383291957</v>
      </c>
      <c r="T48" s="57">
        <f t="shared" si="17"/>
        <v>-4790.5834536875091</v>
      </c>
      <c r="U48" s="57">
        <f t="shared" si="17"/>
        <v>-4799.7125876226128</v>
      </c>
      <c r="V48" s="57">
        <f t="shared" si="17"/>
        <v>-4808.8873672273921</v>
      </c>
      <c r="W48" s="57">
        <f t="shared" si="17"/>
        <v>-4818.1080207301957</v>
      </c>
      <c r="X48" s="57">
        <f t="shared" si="17"/>
        <v>-4827.3747775005131</v>
      </c>
      <c r="Y48" s="57">
        <f t="shared" si="17"/>
        <v>-4836.6878680546824</v>
      </c>
      <c r="Z48" s="57">
        <f t="shared" si="17"/>
        <v>-4846.0475240616224</v>
      </c>
      <c r="AA48" s="57">
        <f t="shared" si="17"/>
        <v>-4855.453978348597</v>
      </c>
      <c r="AB48" s="57">
        <f t="shared" si="17"/>
        <v>-4864.9074649070062</v>
      </c>
      <c r="AC48" s="57">
        <f t="shared" si="17"/>
        <v>-4874.4082188982075</v>
      </c>
      <c r="AD48" s="57">
        <f t="shared" si="17"/>
        <v>-4883.9564766593649</v>
      </c>
      <c r="AE48" s="57">
        <f t="shared" si="17"/>
        <v>-4893.5524757093281</v>
      </c>
      <c r="AF48" s="57">
        <f t="shared" si="17"/>
        <v>-4903.1964547545413</v>
      </c>
      <c r="AG48" s="57">
        <f t="shared" si="17"/>
        <v>-4912.8886536949803</v>
      </c>
      <c r="AH48" s="57">
        <f t="shared" si="17"/>
        <v>-4922.6293136301219</v>
      </c>
      <c r="AI48" s="57">
        <f t="shared" si="17"/>
        <v>-4932.4186768649397</v>
      </c>
      <c r="AJ48" s="57">
        <f t="shared" si="17"/>
        <v>-4942.2569869159306</v>
      </c>
      <c r="AK48" s="57">
        <f>SUM(G48:AJ48)</f>
        <v>-144180.26437010305</v>
      </c>
      <c r="AL48" s="37"/>
    </row>
    <row r="49" spans="2:38" x14ac:dyDescent="0.3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2:38" x14ac:dyDescent="0.3">
      <c r="B50" s="38" t="s">
        <v>47</v>
      </c>
      <c r="C50" s="38"/>
      <c r="D50" s="38"/>
      <c r="E50" s="38"/>
      <c r="F50" s="40" t="s">
        <v>6</v>
      </c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>
        <f>SUM(G50:AJ50)</f>
        <v>0</v>
      </c>
      <c r="AL50" s="2"/>
    </row>
    <row r="51" spans="2:38" x14ac:dyDescent="0.3">
      <c r="B51" s="38" t="s">
        <v>48</v>
      </c>
      <c r="C51" s="38"/>
      <c r="D51" s="38"/>
      <c r="E51" s="38"/>
      <c r="F51" s="40" t="s">
        <v>6</v>
      </c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>
        <f>SUM(G51:AJ51)</f>
        <v>0</v>
      </c>
      <c r="AL51" s="2"/>
    </row>
    <row r="52" spans="2:38" ht="16.8" x14ac:dyDescent="0.4">
      <c r="B52" s="38" t="s">
        <v>19</v>
      </c>
      <c r="C52" s="38"/>
      <c r="D52" s="58"/>
      <c r="E52" s="59">
        <f>+C7/2.1*0.02*1.05*65*I10*0.05</f>
        <v>60.632000000000005</v>
      </c>
      <c r="F52" s="40" t="s">
        <v>6</v>
      </c>
      <c r="G52" s="41">
        <f t="shared" ref="G52:AJ52" si="18">$E$52</f>
        <v>60.632000000000005</v>
      </c>
      <c r="H52" s="41">
        <f t="shared" si="18"/>
        <v>60.632000000000005</v>
      </c>
      <c r="I52" s="41">
        <f t="shared" si="18"/>
        <v>60.632000000000005</v>
      </c>
      <c r="J52" s="41">
        <f t="shared" si="18"/>
        <v>60.632000000000005</v>
      </c>
      <c r="K52" s="41">
        <f t="shared" si="18"/>
        <v>60.632000000000005</v>
      </c>
      <c r="L52" s="41">
        <f t="shared" si="18"/>
        <v>60.632000000000005</v>
      </c>
      <c r="M52" s="41">
        <f t="shared" si="18"/>
        <v>60.632000000000005</v>
      </c>
      <c r="N52" s="41">
        <f t="shared" si="18"/>
        <v>60.632000000000005</v>
      </c>
      <c r="O52" s="41">
        <f t="shared" si="18"/>
        <v>60.632000000000005</v>
      </c>
      <c r="P52" s="41">
        <f t="shared" si="18"/>
        <v>60.632000000000005</v>
      </c>
      <c r="Q52" s="41">
        <f t="shared" si="18"/>
        <v>60.632000000000005</v>
      </c>
      <c r="R52" s="41">
        <f t="shared" si="18"/>
        <v>60.632000000000005</v>
      </c>
      <c r="S52" s="41">
        <f t="shared" si="18"/>
        <v>60.632000000000005</v>
      </c>
      <c r="T52" s="41">
        <f t="shared" si="18"/>
        <v>60.632000000000005</v>
      </c>
      <c r="U52" s="41">
        <f t="shared" si="18"/>
        <v>60.632000000000005</v>
      </c>
      <c r="V52" s="41">
        <f t="shared" si="18"/>
        <v>60.632000000000005</v>
      </c>
      <c r="W52" s="41">
        <f t="shared" si="18"/>
        <v>60.632000000000005</v>
      </c>
      <c r="X52" s="41">
        <f t="shared" si="18"/>
        <v>60.632000000000005</v>
      </c>
      <c r="Y52" s="41">
        <f t="shared" si="18"/>
        <v>60.632000000000005</v>
      </c>
      <c r="Z52" s="41">
        <f t="shared" si="18"/>
        <v>60.632000000000005</v>
      </c>
      <c r="AA52" s="41">
        <f t="shared" si="18"/>
        <v>60.632000000000005</v>
      </c>
      <c r="AB52" s="41">
        <f t="shared" si="18"/>
        <v>60.632000000000005</v>
      </c>
      <c r="AC52" s="41">
        <f t="shared" si="18"/>
        <v>60.632000000000005</v>
      </c>
      <c r="AD52" s="41">
        <f t="shared" si="18"/>
        <v>60.632000000000005</v>
      </c>
      <c r="AE52" s="41">
        <f t="shared" si="18"/>
        <v>60.632000000000005</v>
      </c>
      <c r="AF52" s="41">
        <f t="shared" si="18"/>
        <v>60.632000000000005</v>
      </c>
      <c r="AG52" s="41">
        <f t="shared" si="18"/>
        <v>60.632000000000005</v>
      </c>
      <c r="AH52" s="41">
        <f t="shared" si="18"/>
        <v>60.632000000000005</v>
      </c>
      <c r="AI52" s="41">
        <f t="shared" si="18"/>
        <v>60.632000000000005</v>
      </c>
      <c r="AJ52" s="41">
        <f t="shared" si="18"/>
        <v>60.632000000000005</v>
      </c>
      <c r="AK52" s="41">
        <f>SUM(G52:AJ52)</f>
        <v>1818.9600000000014</v>
      </c>
      <c r="AL52" s="2"/>
    </row>
    <row r="53" spans="2:38" x14ac:dyDescent="0.3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2:38" ht="15.6" x14ac:dyDescent="0.3">
      <c r="B54" s="34" t="s">
        <v>49</v>
      </c>
      <c r="C54" s="35"/>
      <c r="D54" s="35"/>
      <c r="E54" s="35"/>
      <c r="F54" s="60">
        <f>-C10</f>
        <v>-176000</v>
      </c>
      <c r="G54" s="52">
        <f t="shared" ref="G54:AJ54" si="19">G48-G50-G51-G52-G45</f>
        <v>1130.0780000000004</v>
      </c>
      <c r="H54" s="52">
        <f t="shared" si="19"/>
        <v>1121.5219999999999</v>
      </c>
      <c r="I54" s="52">
        <f t="shared" si="19"/>
        <v>1112.9232200000006</v>
      </c>
      <c r="J54" s="52">
        <f t="shared" si="19"/>
        <v>1104.2814461000007</v>
      </c>
      <c r="K54" s="52">
        <f t="shared" si="19"/>
        <v>1095.5964633305011</v>
      </c>
      <c r="L54" s="52">
        <f t="shared" si="19"/>
        <v>1086.8680556471536</v>
      </c>
      <c r="M54" s="52">
        <f t="shared" si="19"/>
        <v>1078.0960059253894</v>
      </c>
      <c r="N54" s="52">
        <f t="shared" si="19"/>
        <v>1069.2800959550168</v>
      </c>
      <c r="O54" s="52">
        <f t="shared" si="19"/>
        <v>1060.4201064347917</v>
      </c>
      <c r="P54" s="52">
        <f t="shared" si="19"/>
        <v>1051.5158169669658</v>
      </c>
      <c r="Q54" s="52">
        <f t="shared" si="19"/>
        <v>1042.5670060518014</v>
      </c>
      <c r="R54" s="52">
        <f t="shared" si="19"/>
        <v>1033.5734510820603</v>
      </c>
      <c r="S54" s="52">
        <f t="shared" si="19"/>
        <v>1024.5349283374717</v>
      </c>
      <c r="T54" s="52">
        <f t="shared" si="19"/>
        <v>1015.4512129791583</v>
      </c>
      <c r="U54" s="52">
        <f t="shared" si="19"/>
        <v>1006.3220790440546</v>
      </c>
      <c r="V54" s="52">
        <f t="shared" si="19"/>
        <v>997.14729943927523</v>
      </c>
      <c r="W54" s="52">
        <f t="shared" si="19"/>
        <v>987.92664593647169</v>
      </c>
      <c r="X54" s="52">
        <f t="shared" si="19"/>
        <v>978.65988916615424</v>
      </c>
      <c r="Y54" s="52">
        <f t="shared" si="19"/>
        <v>969.34679861198492</v>
      </c>
      <c r="Z54" s="52">
        <f t="shared" si="19"/>
        <v>959.98714260504494</v>
      </c>
      <c r="AA54" s="52">
        <f t="shared" si="19"/>
        <v>950.58068831807032</v>
      </c>
      <c r="AB54" s="52">
        <f t="shared" si="19"/>
        <v>941.12720175966115</v>
      </c>
      <c r="AC54" s="52">
        <f t="shared" si="19"/>
        <v>931.62644776845991</v>
      </c>
      <c r="AD54" s="52">
        <f t="shared" si="19"/>
        <v>922.07819000730251</v>
      </c>
      <c r="AE54" s="52">
        <f t="shared" si="19"/>
        <v>912.4821909573393</v>
      </c>
      <c r="AF54" s="52">
        <f t="shared" si="19"/>
        <v>902.8382119121261</v>
      </c>
      <c r="AG54" s="52">
        <f t="shared" si="19"/>
        <v>893.14601297168701</v>
      </c>
      <c r="AH54" s="52">
        <f t="shared" si="19"/>
        <v>883.40535303654542</v>
      </c>
      <c r="AI54" s="52">
        <f t="shared" si="19"/>
        <v>873.61598980172766</v>
      </c>
      <c r="AJ54" s="52">
        <f t="shared" si="19"/>
        <v>863.77767975073675</v>
      </c>
      <c r="AK54" s="52">
        <f>SUM(F54:AJ54)</f>
        <v>-145999.22437010304</v>
      </c>
      <c r="AL54" s="37"/>
    </row>
    <row r="55" spans="2:38" x14ac:dyDescent="0.3">
      <c r="B55" s="2"/>
      <c r="C55" s="2"/>
      <c r="D55" s="2"/>
      <c r="E55" s="2"/>
      <c r="F55" s="2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2:38" ht="15.6" x14ac:dyDescent="0.3">
      <c r="B56" s="34" t="s">
        <v>50</v>
      </c>
      <c r="C56" s="61">
        <f>+F54</f>
        <v>-176000</v>
      </c>
      <c r="D56" s="62"/>
      <c r="E56" s="62"/>
      <c r="F56" s="63"/>
      <c r="G56" s="61">
        <f>F54+G54</f>
        <v>-174869.92199999999</v>
      </c>
      <c r="H56" s="61">
        <f t="shared" ref="H56:AD56" si="20">+G56+H54</f>
        <v>-173748.4</v>
      </c>
      <c r="I56" s="61">
        <f t="shared" si="20"/>
        <v>-172635.47678</v>
      </c>
      <c r="J56" s="61">
        <f t="shared" si="20"/>
        <v>-171531.19533389999</v>
      </c>
      <c r="K56" s="61">
        <f t="shared" si="20"/>
        <v>-170435.59887056949</v>
      </c>
      <c r="L56" s="61">
        <f t="shared" si="20"/>
        <v>-169348.73081492234</v>
      </c>
      <c r="M56" s="61">
        <f t="shared" si="20"/>
        <v>-168270.63480899695</v>
      </c>
      <c r="N56" s="61">
        <f t="shared" si="20"/>
        <v>-167201.35471304195</v>
      </c>
      <c r="O56" s="61">
        <f t="shared" si="20"/>
        <v>-166140.93460660716</v>
      </c>
      <c r="P56" s="61">
        <f t="shared" si="20"/>
        <v>-165089.41878964019</v>
      </c>
      <c r="Q56" s="61">
        <f t="shared" si="20"/>
        <v>-164046.85178358838</v>
      </c>
      <c r="R56" s="61">
        <f t="shared" si="20"/>
        <v>-163013.27833250634</v>
      </c>
      <c r="S56" s="61">
        <f t="shared" si="20"/>
        <v>-161988.74340416887</v>
      </c>
      <c r="T56" s="61">
        <f t="shared" si="20"/>
        <v>-160973.29219118971</v>
      </c>
      <c r="U56" s="61">
        <f t="shared" si="20"/>
        <v>-159966.97011214565</v>
      </c>
      <c r="V56" s="61">
        <f t="shared" si="20"/>
        <v>-158969.82281270638</v>
      </c>
      <c r="W56" s="61">
        <f t="shared" si="20"/>
        <v>-157981.8961667699</v>
      </c>
      <c r="X56" s="61">
        <f t="shared" si="20"/>
        <v>-157003.23627760375</v>
      </c>
      <c r="Y56" s="61">
        <f t="shared" si="20"/>
        <v>-156033.88947899177</v>
      </c>
      <c r="Z56" s="61">
        <f t="shared" si="20"/>
        <v>-155073.90233638673</v>
      </c>
      <c r="AA56" s="61">
        <f t="shared" si="20"/>
        <v>-154123.32164806867</v>
      </c>
      <c r="AB56" s="61">
        <f t="shared" si="20"/>
        <v>-153182.194446309</v>
      </c>
      <c r="AC56" s="61">
        <f t="shared" si="20"/>
        <v>-152250.56799854053</v>
      </c>
      <c r="AD56" s="61">
        <f t="shared" si="20"/>
        <v>-151328.48980853322</v>
      </c>
      <c r="AE56" s="61">
        <f>+AD56+AE54</f>
        <v>-150416.00761757587</v>
      </c>
      <c r="AF56" s="61">
        <f t="shared" ref="AF56:AJ56" si="21">+AE56+AF54</f>
        <v>-149513.16940566374</v>
      </c>
      <c r="AG56" s="61">
        <f t="shared" si="21"/>
        <v>-148620.02339269203</v>
      </c>
      <c r="AH56" s="61">
        <f t="shared" si="21"/>
        <v>-147736.6180396555</v>
      </c>
      <c r="AI56" s="61">
        <f t="shared" si="21"/>
        <v>-146863.00204985376</v>
      </c>
      <c r="AJ56" s="61">
        <f t="shared" si="21"/>
        <v>-145999.22437010304</v>
      </c>
      <c r="AK56" s="2"/>
      <c r="AL56" s="2"/>
    </row>
    <row r="57" spans="2:38" x14ac:dyDescent="0.3">
      <c r="B57" s="2"/>
      <c r="C57" s="2"/>
      <c r="D57" s="2"/>
      <c r="E57" s="2"/>
      <c r="F57" s="2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2:38" x14ac:dyDescent="0.3">
      <c r="B58" s="2"/>
      <c r="C58" s="2"/>
      <c r="D58" s="2"/>
      <c r="E58" s="2"/>
      <c r="F58" s="2"/>
      <c r="G58" s="3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2:38" ht="15.6" x14ac:dyDescent="0.3">
      <c r="B59" s="34" t="s">
        <v>51</v>
      </c>
      <c r="C59" s="35"/>
      <c r="D59" s="35"/>
      <c r="E59" s="35"/>
      <c r="F59" s="35"/>
      <c r="G59" s="64">
        <f>AK54</f>
        <v>-145999.22437010304</v>
      </c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37"/>
    </row>
    <row r="60" spans="2:38" ht="15.6" x14ac:dyDescent="0.3">
      <c r="B60" s="2"/>
      <c r="C60" s="2"/>
      <c r="D60" s="2"/>
      <c r="E60" s="2"/>
      <c r="F60" s="2"/>
      <c r="G60" s="3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2"/>
    </row>
    <row r="61" spans="2:38" ht="15.6" x14ac:dyDescent="0.3">
      <c r="B61" s="2"/>
      <c r="C61" s="2"/>
      <c r="D61" s="2"/>
      <c r="E61" s="2"/>
      <c r="F61" s="2"/>
      <c r="G61" s="3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2"/>
    </row>
    <row r="62" spans="2:38" ht="15.6" x14ac:dyDescent="0.3">
      <c r="B62" s="34" t="s">
        <v>52</v>
      </c>
      <c r="C62" s="35"/>
      <c r="D62" s="35"/>
      <c r="E62" s="35"/>
      <c r="F62" s="35"/>
      <c r="G62" s="66">
        <f>G42/C8</f>
        <v>6.7653977272727258E-3</v>
      </c>
      <c r="H62" s="37"/>
      <c r="I62" s="6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</row>
    <row r="63" spans="2:38" ht="15" thickBot="1" x14ac:dyDescent="0.35">
      <c r="B63" s="2"/>
      <c r="C63" s="2"/>
      <c r="D63" s="2"/>
      <c r="E63" s="2"/>
      <c r="F63" s="2"/>
      <c r="G63" s="3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2:38" ht="16.2" thickBot="1" x14ac:dyDescent="0.35">
      <c r="B64" s="68" t="s">
        <v>53</v>
      </c>
      <c r="C64" s="69"/>
      <c r="D64" s="69"/>
      <c r="E64" s="69"/>
      <c r="F64" s="69"/>
      <c r="G64" s="70">
        <f>G54/C10</f>
        <v>6.4208977272727299E-3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</row>
    <row r="65" spans="2:38" x14ac:dyDescent="0.3">
      <c r="B65" s="2"/>
      <c r="C65" s="2"/>
      <c r="D65" s="2"/>
      <c r="E65" s="2"/>
      <c r="F65" s="2"/>
      <c r="G65" s="3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2:38" ht="15.6" x14ac:dyDescent="0.3">
      <c r="B66" s="71" t="s">
        <v>54</v>
      </c>
      <c r="C66" s="72"/>
      <c r="D66" s="72"/>
      <c r="E66" s="72"/>
      <c r="F66" s="72"/>
      <c r="G66" s="73">
        <f>COUNTIF(G56:AJ56,"&lt;0")+1</f>
        <v>31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</row>
    <row r="67" spans="2:38" x14ac:dyDescent="0.3">
      <c r="B67" s="74"/>
      <c r="C67" s="75"/>
      <c r="D67" s="75"/>
      <c r="E67" s="75"/>
      <c r="F67" s="75"/>
      <c r="G67" s="76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2:38" x14ac:dyDescent="0.3">
      <c r="B68" s="30" t="s">
        <v>55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2:38" x14ac:dyDescent="0.3">
      <c r="B69" s="30" t="s">
        <v>56</v>
      </c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2:38" x14ac:dyDescent="0.3">
      <c r="B70" s="30" t="s">
        <v>57</v>
      </c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2:38" x14ac:dyDescent="0.3">
      <c r="B71" s="30" t="s">
        <v>58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2:38" x14ac:dyDescent="0.3">
      <c r="B72" s="77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</sheetData>
  <dataValidations count="1">
    <dataValidation type="list" allowBlank="1" showInputMessage="1" showErrorMessage="1" sqref="C17:C21" xr:uid="{6266A2D4-018C-4CA9-A7A1-CB3654E2EB50}">
      <formula1>"180,200"</formula1>
    </dataValidation>
  </dataValidations>
  <hyperlinks>
    <hyperlink ref="D11" r:id="rId1" xr:uid="{9719C94C-AA72-42EA-B29C-0B2BD4015CAE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Tabelle</vt:lpstr>
      <vt:lpstr>Piano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</dc:creator>
  <cp:lastModifiedBy>Alberto</cp:lastModifiedBy>
  <dcterms:created xsi:type="dcterms:W3CDTF">2022-09-02T09:13:28Z</dcterms:created>
  <dcterms:modified xsi:type="dcterms:W3CDTF">2022-10-05T10:28:23Z</dcterms:modified>
</cp:coreProperties>
</file>